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Arbeit\Documents\Master_Aalen\Master-Thesis\MasterThesis-meineArbeit\BiVi-Own\"/>
    </mc:Choice>
  </mc:AlternateContent>
  <workbookProtection workbookAlgorithmName="SHA-512" workbookHashValue="GOa+ROqSiJKJClqOf7jA93fO6WUqzO4CCVhcDDMNcYzsoqaBJIqcKyOjXmEOPSokeW5U/i0s1YKCSaRGeEGvlQ==" workbookSaltValue="ZeGk31mTr4W9gPp8/KMpqg==" workbookSpinCount="100000" lockStructure="1"/>
  <bookViews>
    <workbookView xWindow="0" yWindow="0" windowWidth="4176" windowHeight="0" tabRatio="650"/>
  </bookViews>
  <sheets>
    <sheet name="Eingabe-Maske" sheetId="8" r:id="rId1"/>
    <sheet name="Overview" sheetId="9" r:id="rId2"/>
    <sheet name="ACAT-16" sheetId="1" state="hidden" r:id="rId3"/>
  </sheets>
  <definedNames>
    <definedName name="Balken10NRA">INDEX(#REF!,2,MATCH(#REF!,#REF!))</definedName>
    <definedName name="Balken2PRV">INDEX(#REF!,2,MATCH(#REF!,#REF!))</definedName>
    <definedName name="Balken3NRV">INDEX(#REF!,2,MATCH(#REF!,#REF!))</definedName>
    <definedName name="Balken5PRV">INDEX(#REF!,2,MATCH(#REF!,#REF!))</definedName>
    <definedName name="Balken6NRV">INDEX(#REF!,2,MATCH(#REF!,#REF!))</definedName>
    <definedName name="Balken7NPC">INDEX(#REF!,2,MATCH(#REF!,#REF!))</definedName>
    <definedName name="Balken8NPA">INDEX(#REF!,2,MATCH(#REF!,#REF!))</definedName>
    <definedName name="Balken9PRA">INDEX(#REF!,2,MATCH(#REF!,#REF!))</definedName>
    <definedName name="PD">INDEX(#REF!,2,MATCH(#REF!,#REF!))</definedName>
    <definedName name="PhorieD">INDEX(#REF!,2,MATCH(#REF!,#REF!))</definedName>
    <definedName name="PhorieN">INDEX(#REF!,2,MATCH(#REF!,#REF!))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9" l="1"/>
  <c r="F60" i="9"/>
  <c r="E60" i="9"/>
  <c r="D60" i="9"/>
  <c r="C60" i="9"/>
  <c r="G59" i="9"/>
  <c r="F59" i="9"/>
  <c r="E59" i="9"/>
  <c r="D59" i="9"/>
  <c r="V69" i="9"/>
  <c r="V68" i="9"/>
  <c r="U68" i="9"/>
  <c r="U67" i="9"/>
  <c r="U66" i="9"/>
  <c r="T66" i="9"/>
  <c r="X65" i="9"/>
  <c r="W65" i="9"/>
  <c r="V65" i="9"/>
  <c r="U65" i="9"/>
  <c r="X64" i="9"/>
  <c r="W64" i="9"/>
  <c r="V64" i="9"/>
  <c r="U64" i="9"/>
  <c r="T63" i="9"/>
  <c r="AE16" i="9"/>
  <c r="AE15" i="9"/>
  <c r="AI14" i="9"/>
  <c r="AH14" i="9"/>
  <c r="AG14" i="9"/>
  <c r="AF14" i="9"/>
  <c r="AE14" i="9"/>
  <c r="AI13" i="9"/>
  <c r="AH13" i="9"/>
  <c r="AG13" i="9"/>
  <c r="AF13" i="9"/>
  <c r="AE13" i="9"/>
  <c r="AI12" i="9"/>
  <c r="AH12" i="9"/>
  <c r="AG12" i="9"/>
  <c r="AF12" i="9"/>
  <c r="AE12" i="9"/>
  <c r="AI11" i="9"/>
  <c r="AH11" i="9"/>
  <c r="AG11" i="9"/>
  <c r="AF11" i="9"/>
  <c r="AE11" i="9"/>
  <c r="AI10" i="9"/>
  <c r="AH10" i="9"/>
  <c r="AG10" i="9"/>
  <c r="AF10" i="9"/>
  <c r="AE10" i="9"/>
  <c r="AI9" i="9"/>
  <c r="AH9" i="9"/>
  <c r="AG9" i="9"/>
  <c r="AF9" i="9"/>
  <c r="AE9" i="9"/>
  <c r="AG8" i="9"/>
  <c r="AF8" i="9"/>
  <c r="AE8" i="9"/>
  <c r="AI7" i="9"/>
  <c r="AH7" i="9"/>
  <c r="AG7" i="9"/>
  <c r="AF7" i="9"/>
  <c r="AE7" i="9"/>
  <c r="AI6" i="9"/>
  <c r="AH6" i="9"/>
  <c r="AG6" i="9"/>
  <c r="AF6" i="9"/>
  <c r="AE6" i="9"/>
  <c r="AI5" i="9"/>
  <c r="AH5" i="9"/>
  <c r="AG5" i="9"/>
  <c r="AF5" i="9"/>
  <c r="AE5" i="9"/>
  <c r="AI4" i="9"/>
  <c r="AH4" i="9"/>
  <c r="AG4" i="9"/>
  <c r="AF4" i="9"/>
  <c r="AE4" i="9"/>
  <c r="AI3" i="9"/>
  <c r="AH3" i="9"/>
  <c r="AG3" i="9"/>
  <c r="AF3" i="9"/>
  <c r="AE3" i="9"/>
  <c r="AK48" i="9"/>
  <c r="AJ48" i="9"/>
  <c r="AI48" i="9"/>
  <c r="X59" i="9"/>
  <c r="V59" i="9"/>
  <c r="Q52" i="9"/>
  <c r="Q51" i="9"/>
  <c r="Q40" i="9"/>
  <c r="P52" i="9"/>
  <c r="P51" i="9"/>
  <c r="P40" i="9"/>
  <c r="J16" i="9"/>
  <c r="J14" i="9"/>
  <c r="I14" i="9"/>
  <c r="J4" i="9" l="1"/>
  <c r="F41" i="1" l="1"/>
  <c r="F41" i="9" s="1"/>
  <c r="F42" i="1"/>
  <c r="F42" i="9" s="1"/>
  <c r="G44" i="1" l="1"/>
  <c r="G44" i="9" s="1"/>
  <c r="G43" i="1"/>
  <c r="G43" i="9" s="1"/>
  <c r="F26" i="1"/>
  <c r="F26" i="9" s="1"/>
  <c r="F27" i="1"/>
  <c r="F27" i="9" s="1"/>
  <c r="F24" i="1" l="1"/>
  <c r="F24" i="9" s="1"/>
  <c r="F16" i="1"/>
  <c r="F16" i="9" s="1"/>
  <c r="F17" i="1"/>
  <c r="F17" i="9" s="1"/>
  <c r="F23" i="1"/>
  <c r="F23" i="9" s="1"/>
  <c r="F15" i="1"/>
  <c r="F15" i="9" s="1"/>
  <c r="F48" i="1"/>
  <c r="F48" i="9" s="1"/>
  <c r="F49" i="1"/>
  <c r="F49" i="9" s="1"/>
  <c r="F50" i="1"/>
  <c r="F50" i="9" s="1"/>
  <c r="P33" i="1" l="1"/>
  <c r="P33" i="9" s="1"/>
  <c r="P47" i="1" l="1"/>
  <c r="P47" i="9" s="1"/>
  <c r="P43" i="1"/>
  <c r="P43" i="9" s="1"/>
  <c r="P42" i="1"/>
  <c r="P42" i="9" s="1"/>
  <c r="P41" i="1"/>
  <c r="P41" i="9" s="1"/>
  <c r="P32" i="1"/>
  <c r="P32" i="9" s="1"/>
  <c r="P31" i="1"/>
  <c r="P31" i="9" s="1"/>
  <c r="P30" i="1"/>
  <c r="P30" i="9" s="1"/>
  <c r="P29" i="1"/>
  <c r="P29" i="9" s="1"/>
  <c r="P23" i="1"/>
  <c r="P23" i="9" s="1"/>
  <c r="P28" i="1"/>
  <c r="P28" i="9" s="1"/>
  <c r="P22" i="1"/>
  <c r="P22" i="9" s="1"/>
  <c r="P21" i="1"/>
  <c r="P21" i="9" s="1"/>
  <c r="P20" i="1"/>
  <c r="P20" i="9" s="1"/>
  <c r="P19" i="1"/>
  <c r="P19" i="9" s="1"/>
  <c r="P18" i="1"/>
  <c r="P18" i="9" s="1"/>
  <c r="P17" i="1"/>
  <c r="P17" i="9" s="1"/>
  <c r="P34" i="1"/>
  <c r="P34" i="9" s="1"/>
  <c r="P36" i="1" l="1"/>
  <c r="P36" i="9" s="1"/>
  <c r="P25" i="1"/>
  <c r="P25" i="9" s="1"/>
  <c r="K27" i="1"/>
  <c r="K27" i="9" s="1"/>
  <c r="K25" i="1"/>
  <c r="K25" i="9" s="1"/>
  <c r="P27" i="1"/>
  <c r="P27" i="9" s="1"/>
  <c r="K39" i="1"/>
  <c r="K39" i="9" s="1"/>
  <c r="K35" i="1"/>
  <c r="K35" i="9" s="1"/>
  <c r="K26" i="1"/>
  <c r="K26" i="9" s="1"/>
  <c r="K38" i="1"/>
  <c r="K38" i="9" s="1"/>
  <c r="P24" i="1"/>
  <c r="P24" i="9" s="1"/>
  <c r="P35" i="1"/>
  <c r="P35" i="9" s="1"/>
  <c r="K37" i="1"/>
  <c r="K37" i="9" s="1"/>
  <c r="P37" i="1"/>
  <c r="P37" i="9" s="1"/>
  <c r="K24" i="1"/>
  <c r="K24" i="9" s="1"/>
  <c r="K34" i="1"/>
  <c r="K34" i="9" s="1"/>
  <c r="K36" i="1"/>
  <c r="K36" i="9" s="1"/>
  <c r="P26" i="1"/>
  <c r="P26" i="9" s="1"/>
  <c r="P38" i="1"/>
  <c r="P38" i="9" s="1"/>
  <c r="P39" i="1"/>
  <c r="P39" i="9" s="1"/>
  <c r="G49" i="1"/>
  <c r="G49" i="9" s="1"/>
  <c r="F45" i="1"/>
  <c r="F45" i="9" s="1"/>
  <c r="F46" i="1"/>
  <c r="F46" i="9" s="1"/>
  <c r="G48" i="1"/>
  <c r="H48" i="8" l="1"/>
  <c r="G48" i="9"/>
  <c r="I16" i="1"/>
  <c r="I16" i="9" s="1"/>
  <c r="I15" i="1"/>
  <c r="I15" i="9" s="1"/>
  <c r="H16" i="1"/>
  <c r="H16" i="9" s="1"/>
  <c r="G16" i="1"/>
  <c r="G16" i="9" s="1"/>
  <c r="H15" i="1"/>
  <c r="H15" i="9" s="1"/>
  <c r="G15" i="1"/>
  <c r="G15" i="9" s="1"/>
  <c r="H14" i="1"/>
  <c r="H14" i="9" s="1"/>
  <c r="G14" i="1"/>
  <c r="G14" i="9" s="1"/>
  <c r="H13" i="1"/>
  <c r="H13" i="9" s="1"/>
  <c r="G50" i="1"/>
  <c r="G50" i="9" s="1"/>
  <c r="F47" i="1"/>
  <c r="F47" i="9" s="1"/>
  <c r="F44" i="1"/>
  <c r="F44" i="9" s="1"/>
  <c r="F43" i="1"/>
  <c r="F43" i="9" s="1"/>
  <c r="F39" i="1"/>
  <c r="F39" i="9" s="1"/>
  <c r="F38" i="1"/>
  <c r="F38" i="9" s="1"/>
  <c r="F37" i="1"/>
  <c r="F37" i="9" s="1"/>
  <c r="F36" i="1"/>
  <c r="F36" i="9" s="1"/>
  <c r="F35" i="1"/>
  <c r="F35" i="9" s="1"/>
  <c r="F34" i="1"/>
  <c r="F34" i="9" s="1"/>
  <c r="F31" i="1"/>
  <c r="F31" i="9" s="1"/>
  <c r="G31" i="1"/>
  <c r="G31" i="9" s="1"/>
  <c r="H31" i="1"/>
  <c r="H31" i="9" s="1"/>
  <c r="G30" i="1"/>
  <c r="G30" i="9" s="1"/>
  <c r="H30" i="1"/>
  <c r="H30" i="9" s="1"/>
  <c r="F30" i="1"/>
  <c r="F30" i="9" s="1"/>
  <c r="F25" i="1"/>
  <c r="F25" i="9" s="1"/>
  <c r="F21" i="1"/>
  <c r="F21" i="9" s="1"/>
  <c r="G21" i="1"/>
  <c r="G21" i="9" s="1"/>
  <c r="H21" i="1"/>
  <c r="H21" i="9" s="1"/>
  <c r="G20" i="1"/>
  <c r="G20" i="9" s="1"/>
  <c r="H20" i="1"/>
  <c r="H20" i="9" s="1"/>
  <c r="F20" i="1"/>
  <c r="F20" i="9" s="1"/>
  <c r="F14" i="1"/>
  <c r="F14" i="9" s="1"/>
  <c r="G13" i="1"/>
  <c r="G13" i="9" s="1"/>
  <c r="I13" i="1"/>
  <c r="I13" i="9" s="1"/>
  <c r="F13" i="1"/>
  <c r="F13" i="9" s="1"/>
  <c r="Q25" i="1" l="1"/>
  <c r="Q25" i="9" s="1"/>
  <c r="AA25" i="9" s="1"/>
  <c r="Q24" i="1"/>
  <c r="Q24" i="9" s="1"/>
  <c r="AA24" i="9" s="1"/>
  <c r="C10" i="1"/>
  <c r="C10" i="9" s="1"/>
  <c r="AA25" i="1" l="1"/>
  <c r="AA24" i="1"/>
  <c r="J49" i="8"/>
  <c r="J50" i="8"/>
  <c r="I49" i="8"/>
  <c r="I50" i="8"/>
  <c r="J15" i="1"/>
  <c r="J15" i="9" s="1"/>
  <c r="J13" i="1"/>
  <c r="J13" i="9" s="1"/>
  <c r="C9" i="1"/>
  <c r="C9" i="9" s="1"/>
  <c r="E9" i="9" s="1"/>
  <c r="C8" i="1"/>
  <c r="C8" i="9" s="1"/>
  <c r="C7" i="1"/>
  <c r="C7" i="9" s="1"/>
  <c r="G50" i="8"/>
  <c r="G49" i="8"/>
  <c r="E9" i="8"/>
  <c r="J4" i="8"/>
  <c r="M50" i="9" l="1"/>
  <c r="M48" i="9"/>
  <c r="M49" i="9"/>
  <c r="I48" i="8"/>
  <c r="J48" i="8"/>
  <c r="Q32" i="1"/>
  <c r="Q32" i="9" s="1"/>
  <c r="K22" i="1"/>
  <c r="K20" i="1"/>
  <c r="Q20" i="1"/>
  <c r="Q20" i="9" s="1"/>
  <c r="X32" i="1" l="1"/>
  <c r="X32" i="9" s="1"/>
  <c r="U20" i="1"/>
  <c r="U20" i="9" s="1"/>
  <c r="Q29" i="1"/>
  <c r="Q29" i="9" s="1"/>
  <c r="K31" i="1"/>
  <c r="K28" i="1"/>
  <c r="K23" i="1"/>
  <c r="K21" i="1"/>
  <c r="K19" i="1"/>
  <c r="K18" i="1"/>
  <c r="K17" i="1"/>
  <c r="V29" i="1" l="1"/>
  <c r="V29" i="9" s="1"/>
  <c r="V68" i="1" l="1"/>
  <c r="G55" i="1"/>
  <c r="G54" i="1"/>
  <c r="G53" i="1"/>
  <c r="G53" i="9" s="1"/>
  <c r="H50" i="8"/>
  <c r="H49" i="8"/>
  <c r="D53" i="1"/>
  <c r="Q43" i="1"/>
  <c r="Q43" i="9" s="1"/>
  <c r="Q41" i="1"/>
  <c r="Q37" i="1"/>
  <c r="Q28" i="1"/>
  <c r="Q28" i="9" s="1"/>
  <c r="Q27" i="1"/>
  <c r="Q27" i="9" s="1"/>
  <c r="Q26" i="1"/>
  <c r="Q26" i="9" s="1"/>
  <c r="Q19" i="1"/>
  <c r="Q19" i="9" s="1"/>
  <c r="Q17" i="1"/>
  <c r="Q17" i="9" s="1"/>
  <c r="E9" i="1"/>
  <c r="AF16" i="1" s="1"/>
  <c r="AF16" i="9" s="1"/>
  <c r="AI8" i="1"/>
  <c r="AI8" i="9" s="1"/>
  <c r="J4" i="1"/>
  <c r="G58" i="8" l="1"/>
  <c r="G54" i="9"/>
  <c r="D57" i="8"/>
  <c r="D53" i="9"/>
  <c r="AA41" i="1"/>
  <c r="AA41" i="9" s="1"/>
  <c r="Q41" i="9"/>
  <c r="G59" i="8"/>
  <c r="G55" i="9"/>
  <c r="AA37" i="1"/>
  <c r="AA37" i="9" s="1"/>
  <c r="Q37" i="9"/>
  <c r="M46" i="9"/>
  <c r="M45" i="9"/>
  <c r="V28" i="1"/>
  <c r="V28" i="9" s="1"/>
  <c r="AA27" i="1"/>
  <c r="AA26" i="1"/>
  <c r="AI15" i="1"/>
  <c r="Q39" i="1"/>
  <c r="Q38" i="1"/>
  <c r="Q36" i="1"/>
  <c r="Q36" i="9" s="1"/>
  <c r="AA36" i="9" s="1"/>
  <c r="Q35" i="1"/>
  <c r="Q35" i="9" s="1"/>
  <c r="AA35" i="9" s="1"/>
  <c r="P53" i="1"/>
  <c r="G57" i="8"/>
  <c r="Q22" i="1"/>
  <c r="Q22" i="9" s="1"/>
  <c r="Q34" i="1"/>
  <c r="Q47" i="1"/>
  <c r="Q47" i="9" s="1"/>
  <c r="Q33" i="1"/>
  <c r="Q33" i="9" s="1"/>
  <c r="Q31" i="1"/>
  <c r="Q31" i="9" s="1"/>
  <c r="Q30" i="1"/>
  <c r="Q30" i="9" s="1"/>
  <c r="Q23" i="1"/>
  <c r="Q23" i="9" s="1"/>
  <c r="Q21" i="1"/>
  <c r="Q21" i="9" s="1"/>
  <c r="Q18" i="1"/>
  <c r="Q18" i="9" s="1"/>
  <c r="Q42" i="1"/>
  <c r="H50" i="1"/>
  <c r="H50" i="9" s="1"/>
  <c r="AH8" i="1"/>
  <c r="X43" i="1"/>
  <c r="X43" i="9" s="1"/>
  <c r="Z41" i="1"/>
  <c r="Z41" i="9" s="1"/>
  <c r="Y41" i="1"/>
  <c r="Y41" i="9" s="1"/>
  <c r="X41" i="1"/>
  <c r="X41" i="9" s="1"/>
  <c r="AH51" i="1"/>
  <c r="AH51" i="9" s="1"/>
  <c r="V41" i="1"/>
  <c r="V41" i="9" s="1"/>
  <c r="U19" i="1"/>
  <c r="U19" i="9" s="1"/>
  <c r="W69" i="1"/>
  <c r="W69" i="9" s="1"/>
  <c r="H54" i="1"/>
  <c r="Y25" i="1"/>
  <c r="Y25" i="9" s="1"/>
  <c r="Z25" i="1"/>
  <c r="Z25" i="9" s="1"/>
  <c r="V27" i="1"/>
  <c r="V27" i="9" s="1"/>
  <c r="Z27" i="1"/>
  <c r="Z27" i="9" s="1"/>
  <c r="X27" i="1"/>
  <c r="X27" i="9" s="1"/>
  <c r="Y27" i="1"/>
  <c r="Y27" i="9" s="1"/>
  <c r="Z37" i="1"/>
  <c r="Z37" i="9" s="1"/>
  <c r="V37" i="1"/>
  <c r="V37" i="9" s="1"/>
  <c r="X26" i="1"/>
  <c r="X26" i="9" s="1"/>
  <c r="V26" i="1"/>
  <c r="V26" i="9" s="1"/>
  <c r="Z26" i="1"/>
  <c r="Z26" i="9" s="1"/>
  <c r="Y26" i="1"/>
  <c r="Y26" i="9" s="1"/>
  <c r="V43" i="1"/>
  <c r="V43" i="9" s="1"/>
  <c r="AF15" i="1"/>
  <c r="M48" i="1"/>
  <c r="P48" i="1" s="1"/>
  <c r="P48" i="9" s="1"/>
  <c r="H49" i="1"/>
  <c r="H49" i="9" s="1"/>
  <c r="J50" i="1"/>
  <c r="J50" i="9" s="1"/>
  <c r="AG15" i="1"/>
  <c r="J49" i="1"/>
  <c r="J49" i="9" s="1"/>
  <c r="M50" i="1"/>
  <c r="I50" i="1" s="1"/>
  <c r="I50" i="9" s="1"/>
  <c r="D54" i="1"/>
  <c r="D54" i="9" s="1"/>
  <c r="AG16" i="1"/>
  <c r="AG16" i="9" s="1"/>
  <c r="AH16" i="1"/>
  <c r="H48" i="1"/>
  <c r="H48" i="9" s="1"/>
  <c r="M49" i="1"/>
  <c r="P49" i="1" s="1"/>
  <c r="P49" i="9" s="1"/>
  <c r="AI16" i="1"/>
  <c r="J48" i="1"/>
  <c r="J48" i="9" s="1"/>
  <c r="H58" i="8" l="1"/>
  <c r="H54" i="9"/>
  <c r="AH15" i="1"/>
  <c r="AH15" i="9" s="1"/>
  <c r="I40" i="9" s="1"/>
  <c r="AH8" i="9"/>
  <c r="AA42" i="1"/>
  <c r="AA42" i="9" s="1"/>
  <c r="Q42" i="9"/>
  <c r="Q53" i="1"/>
  <c r="T67" i="1" s="1"/>
  <c r="T67" i="9" s="1"/>
  <c r="P53" i="9"/>
  <c r="AB27" i="1"/>
  <c r="AB27" i="9" s="1"/>
  <c r="AA27" i="9"/>
  <c r="AA39" i="1"/>
  <c r="Q39" i="9"/>
  <c r="AA39" i="9" s="1"/>
  <c r="AA34" i="1"/>
  <c r="AA34" i="9" s="1"/>
  <c r="Q34" i="9"/>
  <c r="AB26" i="1"/>
  <c r="AB26" i="9" s="1"/>
  <c r="AA26" i="9"/>
  <c r="AA38" i="1"/>
  <c r="AB37" i="1" s="1"/>
  <c r="AB37" i="9" s="1"/>
  <c r="Q38" i="9"/>
  <c r="AA38" i="9" s="1"/>
  <c r="I41" i="1"/>
  <c r="AH16" i="9"/>
  <c r="I41" i="9" s="1"/>
  <c r="N46" i="9"/>
  <c r="N45" i="9"/>
  <c r="M44" i="1"/>
  <c r="AF15" i="9"/>
  <c r="M44" i="9" s="1"/>
  <c r="J40" i="1"/>
  <c r="AI15" i="9"/>
  <c r="J40" i="9" s="1"/>
  <c r="J41" i="1"/>
  <c r="AI16" i="9"/>
  <c r="J41" i="9" s="1"/>
  <c r="N44" i="1"/>
  <c r="AG15" i="9"/>
  <c r="N44" i="9" s="1"/>
  <c r="AH48" i="1"/>
  <c r="AH48" i="9" s="1"/>
  <c r="W22" i="1"/>
  <c r="W22" i="9" s="1"/>
  <c r="X31" i="1"/>
  <c r="X31" i="9" s="1"/>
  <c r="Y36" i="1"/>
  <c r="Y36" i="9" s="1"/>
  <c r="AA36" i="1"/>
  <c r="AA35" i="1"/>
  <c r="I49" i="1"/>
  <c r="I49" i="9" s="1"/>
  <c r="Q49" i="1"/>
  <c r="D58" i="8"/>
  <c r="I48" i="1"/>
  <c r="I48" i="9" s="1"/>
  <c r="AI51" i="1"/>
  <c r="AI51" i="9" s="1"/>
  <c r="Z38" i="1"/>
  <c r="Z38" i="9" s="1"/>
  <c r="Z39" i="1"/>
  <c r="Z39" i="9" s="1"/>
  <c r="Y35" i="1"/>
  <c r="Y35" i="9" s="1"/>
  <c r="V42" i="1"/>
  <c r="V42" i="9" s="1"/>
  <c r="Y42" i="1"/>
  <c r="Y42" i="9" s="1"/>
  <c r="X34" i="1"/>
  <c r="X34" i="9" s="1"/>
  <c r="U18" i="1"/>
  <c r="Y34" i="1"/>
  <c r="Y34" i="9" s="1"/>
  <c r="X33" i="1"/>
  <c r="X33" i="9" s="1"/>
  <c r="H55" i="1"/>
  <c r="W21" i="1"/>
  <c r="V47" i="1"/>
  <c r="V47" i="9" s="1"/>
  <c r="V30" i="1"/>
  <c r="Z42" i="1"/>
  <c r="Z42" i="9" s="1"/>
  <c r="X42" i="1"/>
  <c r="X42" i="9" s="1"/>
  <c r="P50" i="1"/>
  <c r="AK51" i="1"/>
  <c r="AK51" i="9" s="1"/>
  <c r="AJ51" i="1"/>
  <c r="AJ51" i="9" s="1"/>
  <c r="AM51" i="1"/>
  <c r="AM51" i="9" s="1"/>
  <c r="AM48" i="1"/>
  <c r="AM48" i="9" s="1"/>
  <c r="Q48" i="1"/>
  <c r="M46" i="1"/>
  <c r="M45" i="1"/>
  <c r="N45" i="1"/>
  <c r="N46" i="1"/>
  <c r="I40" i="1" l="1"/>
  <c r="D44" i="8" s="1"/>
  <c r="W55" i="1"/>
  <c r="W57" i="1" s="1"/>
  <c r="W57" i="9" s="1"/>
  <c r="W21" i="9"/>
  <c r="U55" i="1"/>
  <c r="U55" i="9" s="1"/>
  <c r="U18" i="9"/>
  <c r="AA49" i="1"/>
  <c r="Q49" i="9"/>
  <c r="AA49" i="9" s="1"/>
  <c r="X55" i="1"/>
  <c r="V55" i="1"/>
  <c r="V55" i="9" s="1"/>
  <c r="V30" i="9"/>
  <c r="H59" i="8"/>
  <c r="H55" i="9"/>
  <c r="D46" i="8"/>
  <c r="H53" i="1"/>
  <c r="Q53" i="9"/>
  <c r="W55" i="9"/>
  <c r="P44" i="1"/>
  <c r="P44" i="9" s="1"/>
  <c r="D45" i="8"/>
  <c r="AA48" i="1"/>
  <c r="AA48" i="9" s="1"/>
  <c r="Q48" i="9"/>
  <c r="Q50" i="1"/>
  <c r="Y50" i="1" s="1"/>
  <c r="Y50" i="9" s="1"/>
  <c r="P50" i="9"/>
  <c r="AB34" i="1"/>
  <c r="AB34" i="9" s="1"/>
  <c r="AL48" i="1"/>
  <c r="AL48" i="9" s="1"/>
  <c r="P46" i="1"/>
  <c r="P45" i="1"/>
  <c r="P45" i="9" s="1"/>
  <c r="AL51" i="1"/>
  <c r="AL51" i="9" s="1"/>
  <c r="U57" i="1" l="1"/>
  <c r="U57" i="9" s="1"/>
  <c r="V57" i="1"/>
  <c r="V57" i="9" s="1"/>
  <c r="Q44" i="1"/>
  <c r="Z44" i="1" s="1"/>
  <c r="Z44" i="9" s="1"/>
  <c r="X57" i="1"/>
  <c r="X57" i="9" s="1"/>
  <c r="X55" i="9"/>
  <c r="H57" i="8"/>
  <c r="H53" i="9"/>
  <c r="AA50" i="1"/>
  <c r="AA50" i="9" s="1"/>
  <c r="Q50" i="9"/>
  <c r="Q46" i="1"/>
  <c r="AA46" i="1" s="1"/>
  <c r="AA46" i="9" s="1"/>
  <c r="P46" i="9"/>
  <c r="Q45" i="1"/>
  <c r="Z50" i="1"/>
  <c r="Z50" i="9" s="1"/>
  <c r="Z48" i="1"/>
  <c r="Z48" i="9" s="1"/>
  <c r="Y48" i="1"/>
  <c r="Y48" i="9" s="1"/>
  <c r="Z49" i="1"/>
  <c r="Z49" i="9" s="1"/>
  <c r="Y49" i="1"/>
  <c r="Y49" i="9" s="1"/>
  <c r="AB48" i="1" l="1"/>
  <c r="AB48" i="9" s="1"/>
  <c r="V44" i="1"/>
  <c r="V44" i="9" s="1"/>
  <c r="X44" i="1"/>
  <c r="X44" i="9" s="1"/>
  <c r="AA44" i="1"/>
  <c r="AN51" i="1" s="1"/>
  <c r="AN51" i="9" s="1"/>
  <c r="Y44" i="1"/>
  <c r="Y44" i="9" s="1"/>
  <c r="Q44" i="9"/>
  <c r="X56" i="1"/>
  <c r="Z46" i="1"/>
  <c r="Z46" i="9" s="1"/>
  <c r="Q46" i="9"/>
  <c r="Z45" i="1"/>
  <c r="Z45" i="9" s="1"/>
  <c r="Q45" i="9"/>
  <c r="Y46" i="1"/>
  <c r="Y46" i="9" s="1"/>
  <c r="AA45" i="1"/>
  <c r="Y45" i="1"/>
  <c r="Y45" i="9" s="1"/>
  <c r="AG48" i="1"/>
  <c r="AG48" i="9" s="1"/>
  <c r="AG51" i="1"/>
  <c r="AG51" i="9" s="1"/>
  <c r="V56" i="1" l="1"/>
  <c r="V58" i="1" s="1"/>
  <c r="AF48" i="1"/>
  <c r="AF48" i="9" s="1"/>
  <c r="AN48" i="1"/>
  <c r="AN48" i="9" s="1"/>
  <c r="AA44" i="9"/>
  <c r="AA64" i="1"/>
  <c r="AA64" i="9" s="1"/>
  <c r="X58" i="1"/>
  <c r="X56" i="9"/>
  <c r="AB44" i="1"/>
  <c r="AB44" i="9" s="1"/>
  <c r="AA45" i="9"/>
  <c r="V56" i="9" l="1"/>
  <c r="AD68" i="1"/>
  <c r="AD68" i="9" s="1"/>
  <c r="AD71" i="1"/>
  <c r="AD71" i="9" s="1"/>
  <c r="AD65" i="1"/>
  <c r="AD65" i="9" s="1"/>
  <c r="AD67" i="1"/>
  <c r="AD67" i="9" s="1"/>
  <c r="AD69" i="1"/>
  <c r="AD69" i="9" s="1"/>
  <c r="AD64" i="1"/>
  <c r="AD64" i="9" s="1"/>
  <c r="AD66" i="1"/>
  <c r="AD66" i="9" s="1"/>
  <c r="AD70" i="1"/>
  <c r="AD70" i="9" s="1"/>
  <c r="V58" i="9"/>
  <c r="U59" i="1"/>
  <c r="U59" i="9" s="1"/>
  <c r="W59" i="1"/>
  <c r="W59" i="9" s="1"/>
  <c r="X58" i="9"/>
  <c r="Y24" i="1"/>
  <c r="Y24" i="9" s="1"/>
  <c r="Z24" i="1"/>
  <c r="Z24" i="9" s="1"/>
  <c r="AD63" i="1" l="1"/>
  <c r="AD63" i="9" s="1"/>
  <c r="AD72" i="1"/>
  <c r="AD72" i="9" s="1"/>
  <c r="AA55" i="1"/>
  <c r="Z55" i="1"/>
  <c r="Y55" i="1"/>
  <c r="AA59" i="1" l="1"/>
  <c r="AA59" i="9" s="1"/>
  <c r="AA55" i="9"/>
  <c r="Z59" i="1"/>
  <c r="Z59" i="9" s="1"/>
  <c r="Z55" i="9"/>
  <c r="Y59" i="1"/>
  <c r="Y55" i="9"/>
  <c r="AB55" i="1"/>
  <c r="AB55" i="9" s="1"/>
  <c r="AA72" i="1" l="1"/>
  <c r="AA72" i="9" s="1"/>
  <c r="Y59" i="9"/>
  <c r="AB59" i="1"/>
  <c r="AB59" i="9" s="1"/>
  <c r="V66" i="1" l="1"/>
  <c r="V66" i="9" s="1"/>
  <c r="V67" i="1"/>
  <c r="V67" i="9" s="1"/>
  <c r="W66" i="1"/>
  <c r="W66" i="9" s="1"/>
  <c r="W68" i="1"/>
  <c r="W68" i="9" s="1"/>
  <c r="X67" i="1"/>
  <c r="X67" i="9" s="1"/>
  <c r="W67" i="1"/>
  <c r="W67" i="9" s="1"/>
  <c r="X66" i="1"/>
  <c r="X66" i="9" s="1"/>
  <c r="X68" i="1"/>
  <c r="X68" i="9" s="1"/>
  <c r="C59" i="1" l="1"/>
  <c r="C63" i="8" s="1"/>
  <c r="C59" i="9" l="1"/>
</calcChain>
</file>

<file path=xl/comments1.xml><?xml version="1.0" encoding="utf-8"?>
<comments xmlns="http://schemas.openxmlformats.org/spreadsheetml/2006/main">
  <authors>
    <author>Arbeit</author>
  </authors>
  <commentList>
    <comment ref="B10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Inter pupillary Distance</t>
        </r>
      </text>
    </comment>
  </commentList>
</comments>
</file>

<file path=xl/comments2.xml><?xml version="1.0" encoding="utf-8"?>
<comments xmlns="http://schemas.openxmlformats.org/spreadsheetml/2006/main">
  <authors>
    <author>Arbeit</author>
  </authors>
  <commentList>
    <comment ref="T6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PS 1-6 
0 bis 3 =&gt; Exo
3-6 -&gt; Eso</t>
        </r>
      </text>
    </comment>
    <comment ref="AH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Lens Power 30% of Acc Amplitude
(Amplitude Scaled Facility)</t>
        </r>
      </text>
    </comment>
    <comment ref="B10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Inter pupillary Distance</t>
        </r>
      </text>
    </comment>
    <comment ref="T15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@D oder @N Unterscheidung wegen S+W Case Analysis</t>
        </r>
      </text>
    </comment>
    <comment ref="AB16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index Bino-Mono Ratio:
Ist Bino&lt;Mono und Bino&lt;30 dann 10Punkte
</t>
        </r>
      </text>
    </comment>
    <comment ref="F21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bei richtiger Rx kein BI blur mgl</t>
        </r>
      </text>
    </comment>
    <comment ref="K24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Korrigierte Werte
LIP - #7a  </t>
        </r>
      </text>
    </comment>
    <comment ref="P24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Berücksichtigung Rx</t>
        </r>
      </text>
    </comment>
    <comment ref="Y24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Less Plus</t>
        </r>
      </text>
    </comment>
    <comment ref="Z24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More Plus</t>
        </r>
      </text>
    </comment>
    <comment ref="V26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BCC - results in less Plus
Sign for overaccommodation)</t>
        </r>
      </text>
    </comment>
    <comment ref="X26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BCC - more Plus</t>
        </r>
      </text>
    </comment>
    <comment ref="AA26" authorId="0" shapeId="0">
      <text>
        <r>
          <rPr>
            <b/>
            <sz val="9"/>
            <color indexed="81"/>
            <rFont val="Segoe UI"/>
            <family val="2"/>
          </rPr>
          <t>Arbeit:
BCC</t>
        </r>
        <r>
          <rPr>
            <sz val="9"/>
            <color indexed="81"/>
            <rFont val="Segoe UI"/>
            <family val="2"/>
          </rPr>
          <t xml:space="preserve">
Auswertung siehe MEM</t>
        </r>
      </text>
    </comment>
    <comment ref="X34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PRA
if &lt;30  -&gt; inability  to </t>
        </r>
        <r>
          <rPr>
            <b/>
            <sz val="9"/>
            <color indexed="81"/>
            <rFont val="Segoe UI"/>
            <family val="2"/>
          </rPr>
          <t>increase</t>
        </r>
        <r>
          <rPr>
            <sz val="9"/>
            <color indexed="81"/>
            <rFont val="Segoe UI"/>
            <family val="2"/>
          </rPr>
          <t xml:space="preserve"> acc
</t>
        </r>
      </text>
    </comment>
    <comment ref="F37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bei richtiger Rx, NRA max. 2,75dpt</t>
        </r>
      </text>
    </comment>
    <comment ref="V37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NRA
if &lt;30 inability to </t>
        </r>
        <r>
          <rPr>
            <b/>
            <sz val="9"/>
            <color indexed="81"/>
            <rFont val="Segoe UI"/>
            <family val="2"/>
          </rPr>
          <t>reduce</t>
        </r>
        <r>
          <rPr>
            <sz val="9"/>
            <color indexed="81"/>
            <rFont val="Segoe UI"/>
            <family val="2"/>
          </rPr>
          <t xml:space="preserve"> accommodation
</t>
        </r>
      </text>
    </comment>
    <comment ref="AN37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41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MEM Lag</t>
        </r>
      </text>
    </comment>
    <comment ref="Z41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MEM Lead</t>
        </r>
      </text>
    </comment>
    <comment ref="AA41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Lag =&gt;V41  (NFV@N)
Lead =&gt;X41  (PFV@N)</t>
        </r>
      </text>
    </comment>
    <comment ref="G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f44 bis f46 in Dpt</t>
        </r>
      </text>
    </comment>
    <comment ref="H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Hofstetters Minimum Amplitude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Hofstetters Max</t>
        </r>
      </text>
    </comment>
    <comment ref="M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Hofstetters Average</t>
        </r>
      </text>
    </comment>
    <comment ref="Y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Less Acc</t>
        </r>
      </text>
    </comment>
    <comment ref="Z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More Plus</t>
        </r>
      </text>
    </comment>
    <comment ref="N50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=(J50-I50)/2
lt. S+W STD +-2dpt
</t>
        </r>
      </text>
    </comment>
    <comment ref="N53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Normal zw. 3,88 und 6,26
(Werte berechnet mittels NV und PE</t>
        </r>
      </text>
    </comment>
    <comment ref="V6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Acc Influence Possible?</t>
        </r>
      </text>
    </comment>
  </commentList>
</comments>
</file>

<file path=xl/comments3.xml><?xml version="1.0" encoding="utf-8"?>
<comments xmlns="http://schemas.openxmlformats.org/spreadsheetml/2006/main">
  <authors>
    <author>Arbeit</author>
  </authors>
  <commentList>
    <comment ref="T6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PS 1-6 
0 bis 3 =&gt; Exo
3-6 -&gt; Eso</t>
        </r>
      </text>
    </comment>
    <comment ref="AH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Lens Power 30% of Acc Amplitude
(Amplitude Scaled Facility)</t>
        </r>
      </text>
    </comment>
    <comment ref="B10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Inter pupillary Distance</t>
        </r>
      </text>
    </comment>
    <comment ref="T15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@D oder @N Unterscheidung wegen S+W Case Analysis</t>
        </r>
      </text>
    </comment>
    <comment ref="AB16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index Bino-Mono Ratio:
Ist Bino&lt;Mono und Bino&lt;30 dann 10Punkte
</t>
        </r>
      </text>
    </comment>
    <comment ref="F21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bei richtiger Rx kein BI blur mgl</t>
        </r>
      </text>
    </comment>
    <comment ref="K24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Korrigierte Werte
LIP - #7a  </t>
        </r>
      </text>
    </comment>
    <comment ref="P24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Berücksichtigung Rx</t>
        </r>
      </text>
    </comment>
    <comment ref="Y24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Less Plus</t>
        </r>
      </text>
    </comment>
    <comment ref="Z24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More Plus</t>
        </r>
      </text>
    </comment>
    <comment ref="V26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BCC - results in less Plus
Sign for overaccommodation)</t>
        </r>
      </text>
    </comment>
    <comment ref="X26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BCC - more Plus</t>
        </r>
      </text>
    </comment>
    <comment ref="AA26" authorId="0" shapeId="0">
      <text>
        <r>
          <rPr>
            <b/>
            <sz val="9"/>
            <color indexed="81"/>
            <rFont val="Segoe UI"/>
            <family val="2"/>
          </rPr>
          <t>Arbeit:
BCC</t>
        </r>
        <r>
          <rPr>
            <sz val="9"/>
            <color indexed="81"/>
            <rFont val="Segoe UI"/>
            <family val="2"/>
          </rPr>
          <t xml:space="preserve">
Auswertung siehe MEM</t>
        </r>
      </text>
    </comment>
    <comment ref="X34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PRA
if &lt;30  -&gt; inability  to </t>
        </r>
        <r>
          <rPr>
            <b/>
            <sz val="9"/>
            <color indexed="81"/>
            <rFont val="Segoe UI"/>
            <family val="2"/>
          </rPr>
          <t>increase</t>
        </r>
        <r>
          <rPr>
            <sz val="9"/>
            <color indexed="81"/>
            <rFont val="Segoe UI"/>
            <family val="2"/>
          </rPr>
          <t xml:space="preserve"> acc
</t>
        </r>
      </text>
    </comment>
    <comment ref="F37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bei richtiger Rx, NRA max. 2,75dpt</t>
        </r>
      </text>
    </comment>
    <comment ref="V37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NRA
if &lt;30 inability to </t>
        </r>
        <r>
          <rPr>
            <b/>
            <sz val="9"/>
            <color indexed="81"/>
            <rFont val="Segoe UI"/>
            <family val="2"/>
          </rPr>
          <t>reduce</t>
        </r>
        <r>
          <rPr>
            <sz val="9"/>
            <color indexed="81"/>
            <rFont val="Segoe UI"/>
            <family val="2"/>
          </rPr>
          <t xml:space="preserve"> accommodation
</t>
        </r>
      </text>
    </comment>
    <comment ref="AN37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41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MEM Lag</t>
        </r>
      </text>
    </comment>
    <comment ref="Z41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MEM Lead</t>
        </r>
      </text>
    </comment>
    <comment ref="AA41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Lag =&gt;V41  (NFV@N)
Lead =&gt;X41  (PFV@N)</t>
        </r>
      </text>
    </comment>
    <comment ref="G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f44 bis f46 in Dpt</t>
        </r>
      </text>
    </comment>
    <comment ref="H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Hofstetters Minimum Amplitude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Hofstetters Max</t>
        </r>
      </text>
    </comment>
    <comment ref="M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Hofstetters Average</t>
        </r>
      </text>
    </comment>
    <comment ref="Y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Less Acc</t>
        </r>
      </text>
    </comment>
    <comment ref="Z4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More Plus</t>
        </r>
      </text>
    </comment>
    <comment ref="N50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=(J50-I50)/2
lt. S+W STD +-2dpt
</t>
        </r>
      </text>
    </comment>
    <comment ref="N53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Normal zw. 3,88 und 6,26
(Werte berechnet mittels NV und PE</t>
        </r>
      </text>
    </comment>
    <comment ref="V68" authorId="0" shapeId="0">
      <text>
        <r>
          <rPr>
            <b/>
            <sz val="9"/>
            <color indexed="81"/>
            <rFont val="Segoe UI"/>
            <family val="2"/>
          </rPr>
          <t>Arbeit:</t>
        </r>
        <r>
          <rPr>
            <sz val="9"/>
            <color indexed="81"/>
            <rFont val="Segoe UI"/>
            <family val="2"/>
          </rPr>
          <t xml:space="preserve">
Acc Influence Possible?</t>
        </r>
      </text>
    </comment>
  </commentList>
</comments>
</file>

<file path=xl/sharedStrings.xml><?xml version="1.0" encoding="utf-8"?>
<sst xmlns="http://schemas.openxmlformats.org/spreadsheetml/2006/main" count="978" uniqueCount="257">
  <si>
    <t>Diagnose</t>
  </si>
  <si>
    <t>Test</t>
  </si>
  <si>
    <t>&lt;-3PE</t>
  </si>
  <si>
    <t>-3 to -2</t>
  </si>
  <si>
    <t>-2 to -1</t>
  </si>
  <si>
    <t>&lt;=+- 1</t>
  </si>
  <si>
    <t>+1 to +2</t>
  </si>
  <si>
    <t>+2 to +3</t>
  </si>
  <si>
    <t>&gt;+3PE</t>
  </si>
  <si>
    <t>Type 1</t>
  </si>
  <si>
    <t>Type 2</t>
  </si>
  <si>
    <t>Type 3</t>
  </si>
  <si>
    <t>Name:</t>
  </si>
  <si>
    <t>Hypo</t>
  </si>
  <si>
    <t>Norm</t>
  </si>
  <si>
    <t>Hyper</t>
  </si>
  <si>
    <t>Vorname:</t>
  </si>
  <si>
    <t>Max</t>
  </si>
  <si>
    <t>Birth Date:</t>
  </si>
  <si>
    <t>Age:</t>
  </si>
  <si>
    <t>IPD (mm):</t>
  </si>
  <si>
    <t>i=30 is normal</t>
  </si>
  <si>
    <t>Test #</t>
  </si>
  <si>
    <t>Test Name</t>
  </si>
  <si>
    <t>VA</t>
  </si>
  <si>
    <t>VA OU</t>
  </si>
  <si>
    <t>i&gt;25 may only require a special lens prescription or simple vision therapy</t>
  </si>
  <si>
    <t>Sph</t>
  </si>
  <si>
    <t>Cyl</t>
  </si>
  <si>
    <t>Ax</t>
  </si>
  <si>
    <t>i&lt;25 VT will usually be indicated, although a more complicated Rx will work in certain cases</t>
  </si>
  <si>
    <t>6m static Retinoscopy</t>
  </si>
  <si>
    <t>OD</t>
  </si>
  <si>
    <t>ESO=Plus</t>
  </si>
  <si>
    <t>OS</t>
  </si>
  <si>
    <t>EXO=Minus</t>
  </si>
  <si>
    <t>7a</t>
  </si>
  <si>
    <t>Binocular max Ref to BVA</t>
  </si>
  <si>
    <t>PE +/-</t>
  </si>
  <si>
    <t>Test Type</t>
  </si>
  <si>
    <t>Score=(MW-NormativeWert)/PE</t>
  </si>
  <si>
    <t>Point Score</t>
  </si>
  <si>
    <t>Index</t>
  </si>
  <si>
    <t>6m Induced Phoria</t>
  </si>
  <si>
    <t>v.Graefe</t>
  </si>
  <si>
    <t>BO</t>
  </si>
  <si>
    <t>BI</t>
  </si>
  <si>
    <t>13b</t>
  </si>
  <si>
    <t>40cm Induced Phoria</t>
  </si>
  <si>
    <t>14a</t>
  </si>
  <si>
    <t>MCC</t>
  </si>
  <si>
    <t>14b</t>
  </si>
  <si>
    <t>BCC</t>
  </si>
  <si>
    <t>OU</t>
  </si>
  <si>
    <t>Minus</t>
  </si>
  <si>
    <t>Plus</t>
  </si>
  <si>
    <t>Supplemental Tests:</t>
  </si>
  <si>
    <t>NPC</t>
  </si>
  <si>
    <t>cm</t>
  </si>
  <si>
    <t>NPA    (Push-up-Method)</t>
  </si>
  <si>
    <t>MEM</t>
  </si>
  <si>
    <t>PVF/NFV/Acc</t>
  </si>
  <si>
    <t>Vergence Facility at 40cm</t>
  </si>
  <si>
    <t>12BO/3BI</t>
  </si>
  <si>
    <t>+/-</t>
  </si>
  <si>
    <t>Accommodation</t>
  </si>
  <si>
    <t>Vergence</t>
  </si>
  <si>
    <t>Acc. Amplitude=</t>
  </si>
  <si>
    <t>AC/A=</t>
  </si>
  <si>
    <t>AC/A</t>
  </si>
  <si>
    <t>Hofstetters min. Acc. =</t>
  </si>
  <si>
    <t>6m Phoria=</t>
  </si>
  <si>
    <t>40cm Phoria=</t>
  </si>
  <si>
    <t>Recovery</t>
  </si>
  <si>
    <t>Blur</t>
  </si>
  <si>
    <t xml:space="preserve">Break </t>
  </si>
  <si>
    <t>16a+b</t>
  </si>
  <si>
    <t xml:space="preserve">40cm PRV </t>
  </si>
  <si>
    <t>17a+b</t>
  </si>
  <si>
    <t>40cm NRV</t>
  </si>
  <si>
    <t>6m PRV</t>
  </si>
  <si>
    <t>6m NRV</t>
  </si>
  <si>
    <t>9+10</t>
  </si>
  <si>
    <t>PRV blur out</t>
  </si>
  <si>
    <t>PRV break</t>
  </si>
  <si>
    <t>NRV break</t>
  </si>
  <si>
    <t>NRV rec</t>
  </si>
  <si>
    <t>NRV blur</t>
  </si>
  <si>
    <t>PRV</t>
  </si>
  <si>
    <t>PRV rec</t>
  </si>
  <si>
    <t>PRA blur</t>
  </si>
  <si>
    <t>NRA blur</t>
  </si>
  <si>
    <t>EXO=(-)  ESO=(+)</t>
  </si>
  <si>
    <t>NPC (break)</t>
  </si>
  <si>
    <t>PFV @ D</t>
  </si>
  <si>
    <t>PFV @ N</t>
  </si>
  <si>
    <t>NFV @D</t>
  </si>
  <si>
    <t>NFV @ N</t>
  </si>
  <si>
    <t>MEN</t>
  </si>
  <si>
    <t>V-Fac</t>
  </si>
  <si>
    <t>NRV</t>
  </si>
  <si>
    <t>PRA</t>
  </si>
  <si>
    <t>NRA</t>
  </si>
  <si>
    <t>&lt;3</t>
  </si>
  <si>
    <t>=3</t>
  </si>
  <si>
    <t>&gt;3</t>
  </si>
  <si>
    <t>Low</t>
  </si>
  <si>
    <t>High</t>
  </si>
  <si>
    <t>Hilfs-Matrix für Vergence Unterscheidung:</t>
  </si>
  <si>
    <t>Result</t>
  </si>
  <si>
    <t>Acc Amplitude</t>
  </si>
  <si>
    <t>Facility</t>
  </si>
  <si>
    <t>Acc Infacility</t>
  </si>
  <si>
    <t>Ill-sustained</t>
  </si>
  <si>
    <t>Acc Insufficiency</t>
  </si>
  <si>
    <t>Acc Paralysis</t>
  </si>
  <si>
    <t>Acc Excess</t>
  </si>
  <si>
    <t>Pseudomyopia</t>
  </si>
  <si>
    <t>Acc Spasm</t>
  </si>
  <si>
    <t>direkte Messung Low + indirekte Messungen Low =&gt; vergence Problem</t>
  </si>
  <si>
    <t>direkte Messung ok + indirekte Messung Low =&gt; Akk Problem</t>
  </si>
  <si>
    <t>Ferne</t>
  </si>
  <si>
    <t>Nähe</t>
  </si>
  <si>
    <t>Acc OU</t>
  </si>
  <si>
    <t>Acc OD</t>
  </si>
  <si>
    <t>Acc OS</t>
  </si>
  <si>
    <t>#Werte-indiekt</t>
  </si>
  <si>
    <t>#Werte-direkt</t>
  </si>
  <si>
    <t>Monocular Acc Facility</t>
  </si>
  <si>
    <t xml:space="preserve">PRA Blur out </t>
  </si>
  <si>
    <t xml:space="preserve">Monocular PRA Blur out </t>
  </si>
  <si>
    <t>mNRA blur</t>
  </si>
  <si>
    <t>mPRA blur</t>
  </si>
  <si>
    <t>NFV</t>
  </si>
  <si>
    <t>Score ges</t>
  </si>
  <si>
    <t>Score dir</t>
  </si>
  <si>
    <t>Score indir</t>
  </si>
  <si>
    <t>NRA Blur out</t>
  </si>
  <si>
    <t>Monocular NRA Blur out</t>
  </si>
  <si>
    <t xml:space="preserve">Monocular NRA Blur out </t>
  </si>
  <si>
    <t>&gt;30</t>
  </si>
  <si>
    <t>&gt;=30</t>
  </si>
  <si>
    <t>&gt;=20</t>
  </si>
  <si>
    <t>&lt;30</t>
  </si>
  <si>
    <t>&lt;20</t>
  </si>
  <si>
    <t>=30</t>
  </si>
  <si>
    <t>&lt;=30</t>
  </si>
  <si>
    <t>&lt;=20</t>
  </si>
  <si>
    <t>&lt;=10</t>
  </si>
  <si>
    <t>Relax Acc</t>
  </si>
  <si>
    <t>Increase Acc</t>
  </si>
  <si>
    <t>NRA: wenn mono besser &gt; Vergenz Problem</t>
  </si>
  <si>
    <t>Min</t>
  </si>
  <si>
    <t>Hofstetters</t>
  </si>
  <si>
    <t>Index Score - Vergenz</t>
  </si>
  <si>
    <r>
      <rPr>
        <b/>
        <sz val="11"/>
        <color theme="1"/>
        <rFont val="Calibri"/>
        <family val="2"/>
        <scheme val="minor"/>
      </rPr>
      <t>HYPO</t>
    </r>
    <r>
      <rPr>
        <sz val="11"/>
        <color theme="1"/>
        <rFont val="Calibri"/>
        <family val="2"/>
        <scheme val="minor"/>
      </rPr>
      <t>: NPA und (oder BCC oder MEM) und Hypo und Facility dürfen nicht Leer sein, sonst "Keine Diagnose möglich"</t>
    </r>
  </si>
  <si>
    <r>
      <rPr>
        <b/>
        <sz val="11"/>
        <color theme="1"/>
        <rFont val="Calibri"/>
        <family val="2"/>
        <scheme val="minor"/>
      </rPr>
      <t>Hyper</t>
    </r>
    <r>
      <rPr>
        <sz val="11"/>
        <color theme="1"/>
        <rFont val="Calibri"/>
        <family val="2"/>
        <scheme val="minor"/>
      </rPr>
      <t>: NPA und (oder BCC oder MEM) und Hypo und Facility dürfen nicht Leer sein, sonst "Keine Diagnose möglich"</t>
    </r>
  </si>
  <si>
    <t>2=keine Diagnose mgl.</t>
  </si>
  <si>
    <t>Diagnose:</t>
  </si>
  <si>
    <t>Alle notw. Angaben?</t>
  </si>
  <si>
    <t>Age</t>
  </si>
  <si>
    <t>8-12</t>
  </si>
  <si>
    <t>SD</t>
  </si>
  <si>
    <t>13-</t>
  </si>
  <si>
    <t>Test dist. [cm]</t>
  </si>
  <si>
    <t>Flipper [+-]</t>
  </si>
  <si>
    <t>Exp. Find.[cpm]</t>
  </si>
  <si>
    <t>Monocular acc facility</t>
  </si>
  <si>
    <t>Binocular acc facility (S+W P. 21 Tab 1.6 P.88 Tab 4.3)</t>
  </si>
  <si>
    <t>Result:</t>
  </si>
  <si>
    <t>Exp. Finding</t>
  </si>
  <si>
    <t>Binocular</t>
  </si>
  <si>
    <t>Monocular</t>
  </si>
  <si>
    <t>Use the absolute Lens value! [Ablesewerte]</t>
  </si>
  <si>
    <r>
      <rPr>
        <b/>
        <sz val="11"/>
        <color theme="1"/>
        <rFont val="Calibri"/>
        <family val="2"/>
        <scheme val="minor"/>
      </rPr>
      <t>Index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Score:</t>
    </r>
    <r>
      <rPr>
        <sz val="11"/>
        <color theme="1"/>
        <rFont val="Calibri"/>
        <family val="2"/>
        <scheme val="minor"/>
      </rPr>
      <t xml:space="preserve">  [Cooper; Bivi-1, Video Normative Values]</t>
    </r>
  </si>
  <si>
    <t>PFV:</t>
  </si>
  <si>
    <t>direct Measures</t>
  </si>
  <si>
    <t>inditect Measures</t>
  </si>
  <si>
    <t>direct measures</t>
  </si>
  <si>
    <t>NRV / Vergence Facility Testing</t>
  </si>
  <si>
    <t>indirect Measures</t>
  </si>
  <si>
    <t>PRA / Bino Acc Facility (with minus lenses) / MEM / BCC (more plus; Lag   S+W P.24 under acc)</t>
  </si>
  <si>
    <t>Acc System</t>
  </si>
  <si>
    <t>Monocular Acc. Amplitude / Bino Acc. Amplitude</t>
  </si>
  <si>
    <t>Monocular Acc. Facility / Bino Acc. Facility</t>
  </si>
  <si>
    <t>MEM / BCC</t>
  </si>
  <si>
    <t>NRA / PRA (mono NRA / mono PRA)</t>
  </si>
  <si>
    <t>Bino Acc Facility</t>
  </si>
  <si>
    <t>Alle Daten?</t>
  </si>
  <si>
    <t>vG@D</t>
  </si>
  <si>
    <t>&lt;=0</t>
  </si>
  <si>
    <t>PVF/NVF</t>
  </si>
  <si>
    <t>Acc Hypo</t>
  </si>
  <si>
    <t>Acc Hyper</t>
  </si>
  <si>
    <t>Diagnosestellung nach Scheimann+Wick</t>
  </si>
  <si>
    <t>Hypo-Responsive</t>
  </si>
  <si>
    <t>Hyper-Responsive</t>
  </si>
  <si>
    <t>Bitte diese Felder eintragen</t>
  </si>
  <si>
    <t>Normal</t>
  </si>
  <si>
    <t>BAF</t>
  </si>
  <si>
    <t>MAF</t>
  </si>
  <si>
    <t>NRA / Bino Acc Facility (Problem with plus lenses) / NPC / MEM / BCC   (less plus, Lead  S+W P.24 overacc)</t>
  </si>
  <si>
    <t>Binocular Acc Facility</t>
  </si>
  <si>
    <t>PRV / Vergence Facility Testing     (Problem with BO - Convergence)</t>
  </si>
  <si>
    <t>BAA</t>
  </si>
  <si>
    <t>MAA</t>
  </si>
  <si>
    <t>Flipper +/-</t>
  </si>
  <si>
    <t xml:space="preserve"> Distanz</t>
  </si>
  <si>
    <t>Acc Facility Testing</t>
  </si>
  <si>
    <t>&lt;=40</t>
  </si>
  <si>
    <t>PhorieD</t>
  </si>
  <si>
    <t>PhorieN</t>
  </si>
  <si>
    <t>Definitions-Matrix Accommodation</t>
  </si>
  <si>
    <t>Amplitude</t>
  </si>
  <si>
    <t>monokular &lt;= binokular Acc MW    -&gt; Akk Problem</t>
  </si>
  <si>
    <t>monokular &gt; binokular Acc MW     -&gt; Vergence Problem</t>
  </si>
  <si>
    <t>12BO / 3BI</t>
  </si>
  <si>
    <t>Hofstetters avg. Acc. =</t>
  </si>
  <si>
    <t>PW - test</t>
  </si>
  <si>
    <t>False CI (Pseudo-CI)</t>
  </si>
  <si>
    <t>PhorieF=&gt;</t>
  </si>
  <si>
    <t>Avg</t>
  </si>
  <si>
    <t>More B(O) or B(I) Problem?</t>
  </si>
  <si>
    <t>More (M)inus or (P)lus Problem?</t>
  </si>
  <si>
    <t>Acc</t>
  </si>
  <si>
    <t>AA48</t>
  </si>
  <si>
    <t>AA41</t>
  </si>
  <si>
    <t>AA42</t>
  </si>
  <si>
    <t>AA26</t>
  </si>
  <si>
    <t>AA27</t>
  </si>
  <si>
    <t>AA34</t>
  </si>
  <si>
    <t>AA37</t>
  </si>
  <si>
    <t>AA44</t>
  </si>
  <si>
    <t>iBMr</t>
  </si>
  <si>
    <t>mPRA</t>
  </si>
  <si>
    <t>mNRA</t>
  </si>
  <si>
    <t>False CI / Pseudo-CI</t>
  </si>
  <si>
    <t>Exophorie</t>
  </si>
  <si>
    <t>kompensiert durch</t>
  </si>
  <si>
    <t>PFV</t>
  </si>
  <si>
    <t>Esophore</t>
  </si>
  <si>
    <t>0=Nein</t>
  </si>
  <si>
    <t>1=Ja</t>
  </si>
  <si>
    <t>(0 oder 2 keine Diagnose möglich</t>
  </si>
  <si>
    <t>Mean</t>
  </si>
  <si>
    <t>PhoriaD=</t>
  </si>
  <si>
    <t>PhoriaN=</t>
  </si>
  <si>
    <t>13-30</t>
  </si>
  <si>
    <t>20/20</t>
  </si>
  <si>
    <t>BV-2</t>
  </si>
  <si>
    <t>Case 9</t>
  </si>
  <si>
    <t>Last Name:</t>
  </si>
  <si>
    <t>First Name:</t>
  </si>
  <si>
    <t>DOB:</t>
  </si>
  <si>
    <t>Use the absolute Lens value!</t>
  </si>
  <si>
    <t>i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</si>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</sst>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CC"/>
        <bgColor rgb="FFCCCC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2" tint="-9.9948118533890809E-2"/>
        <bgColor rgb="FFCCCCCC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99CC"/>
        <bgColor indexed="64"/>
      </patternFill>
    </fill>
  </fills>
  <borders count="10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 style="thin">
        <color auto="1"/>
      </top>
      <bottom/>
      <diagonal/>
    </border>
    <border>
      <left/>
      <right style="thick">
        <color theme="8" tint="-0.24994659260841701"/>
      </right>
      <top style="thin">
        <color auto="1"/>
      </top>
      <bottom style="thin">
        <color auto="1"/>
      </bottom>
      <diagonal/>
    </border>
    <border>
      <left style="thick">
        <color theme="8" tint="-0.24994659260841701"/>
      </left>
      <right/>
      <top/>
      <bottom/>
      <diagonal/>
    </border>
    <border>
      <left style="thin">
        <color auto="1"/>
      </left>
      <right style="thick">
        <color theme="8" tint="-0.24994659260841701"/>
      </right>
      <top style="thin">
        <color auto="1"/>
      </top>
      <bottom style="thin">
        <color auto="1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 style="thin">
        <color auto="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auto="1"/>
      </left>
      <right style="thick">
        <color theme="8" tint="-0.2499465926084170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thick">
        <color theme="8" tint="-0.24994659260841701"/>
      </right>
      <top style="mediumDashed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rgb="FF000000"/>
      </top>
      <bottom/>
      <diagonal/>
    </border>
    <border>
      <left style="double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rgb="FF000000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auto="1"/>
      </left>
      <right style="thin">
        <color rgb="FF000000"/>
      </right>
      <top/>
      <bottom/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22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5" borderId="21" xfId="0" applyFill="1" applyBorder="1" applyAlignment="1">
      <alignment horizontal="center" vertical="center"/>
    </xf>
    <xf numFmtId="0" fontId="0" fillId="0" borderId="17" xfId="0" applyBorder="1"/>
    <xf numFmtId="0" fontId="0" fillId="5" borderId="22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right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Border="1"/>
    <xf numFmtId="0" fontId="0" fillId="0" borderId="29" xfId="0" applyBorder="1" applyAlignment="1">
      <alignment horizontal="right"/>
    </xf>
    <xf numFmtId="0" fontId="0" fillId="0" borderId="29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49" fontId="0" fillId="0" borderId="77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10" borderId="81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0" borderId="85" xfId="0" applyNumberFormat="1" applyBorder="1" applyAlignment="1">
      <alignment vertical="center"/>
    </xf>
    <xf numFmtId="49" fontId="0" fillId="0" borderId="86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22" fontId="0" fillId="0" borderId="0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83" xfId="0" applyFill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49" fontId="0" fillId="0" borderId="78" xfId="0" quotePrefix="1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10" borderId="80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49" fontId="0" fillId="0" borderId="16" xfId="0" quotePrefix="1" applyNumberFormat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0" fontId="0" fillId="10" borderId="79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9" borderId="0" xfId="0" quotePrefix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quotePrefix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quotePrefix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quotePrefix="1" applyBorder="1" applyAlignment="1">
      <alignment vertical="center"/>
    </xf>
    <xf numFmtId="49" fontId="0" fillId="0" borderId="5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81" xfId="0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5" borderId="0" xfId="0" quotePrefix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vertical="center"/>
      <protection locked="0"/>
    </xf>
    <xf numFmtId="14" fontId="0" fillId="3" borderId="0" xfId="0" applyNumberForma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2" fontId="0" fillId="3" borderId="21" xfId="0" applyNumberFormat="1" applyFill="1" applyBorder="1" applyAlignment="1" applyProtection="1">
      <alignment horizontal="center" vertical="center"/>
      <protection locked="0"/>
    </xf>
    <xf numFmtId="0" fontId="0" fillId="10" borderId="27" xfId="0" quotePrefix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89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90" xfId="0" applyFill="1" applyBorder="1" applyAlignment="1">
      <alignment horizontal="center" vertical="center"/>
    </xf>
    <xf numFmtId="0" fontId="0" fillId="10" borderId="4" xfId="0" applyFill="1" applyBorder="1" applyAlignment="1">
      <alignment vertical="center"/>
    </xf>
    <xf numFmtId="0" fontId="0" fillId="10" borderId="88" xfId="0" applyFill="1" applyBorder="1" applyAlignment="1">
      <alignment horizontal="center" vertical="center"/>
    </xf>
    <xf numFmtId="0" fontId="0" fillId="5" borderId="31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3" borderId="0" xfId="0" applyFont="1" applyFill="1" applyBorder="1" applyProtection="1"/>
    <xf numFmtId="14" fontId="7" fillId="0" borderId="0" xfId="0" applyNumberFormat="1" applyFont="1" applyBorder="1" applyProtection="1"/>
    <xf numFmtId="0" fontId="7" fillId="0" borderId="0" xfId="0" applyFont="1" applyBorder="1" applyAlignment="1" applyProtection="1">
      <alignment horizontal="right"/>
    </xf>
    <xf numFmtId="0" fontId="7" fillId="0" borderId="0" xfId="0" quotePrefix="1" applyFont="1" applyBorder="1" applyProtection="1"/>
    <xf numFmtId="14" fontId="7" fillId="3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0" fontId="8" fillId="0" borderId="17" xfId="0" applyFont="1" applyBorder="1" applyProtection="1"/>
    <xf numFmtId="0" fontId="7" fillId="5" borderId="21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/>
    </xf>
    <xf numFmtId="2" fontId="7" fillId="3" borderId="17" xfId="0" applyNumberFormat="1" applyFont="1" applyFill="1" applyBorder="1" applyAlignment="1" applyProtection="1">
      <alignment horizontal="center"/>
    </xf>
    <xf numFmtId="1" fontId="7" fillId="3" borderId="17" xfId="0" applyNumberFormat="1" applyFont="1" applyFill="1" applyBorder="1" applyAlignment="1" applyProtection="1">
      <alignment horizontal="center"/>
    </xf>
    <xf numFmtId="0" fontId="7" fillId="5" borderId="22" xfId="0" applyFont="1" applyFill="1" applyBorder="1" applyAlignment="1" applyProtection="1">
      <alignment horizontal="center" vertical="center"/>
    </xf>
    <xf numFmtId="0" fontId="7" fillId="5" borderId="26" xfId="0" applyFont="1" applyFill="1" applyBorder="1" applyAlignment="1" applyProtection="1">
      <alignment horizontal="center" vertical="center"/>
    </xf>
    <xf numFmtId="0" fontId="7" fillId="0" borderId="17" xfId="0" applyFont="1" applyBorder="1" applyProtection="1"/>
    <xf numFmtId="0" fontId="7" fillId="5" borderId="17" xfId="0" applyFont="1" applyFill="1" applyBorder="1" applyAlignment="1" applyProtection="1">
      <alignment horizontal="center"/>
    </xf>
    <xf numFmtId="0" fontId="7" fillId="5" borderId="29" xfId="0" applyFont="1" applyFill="1" applyBorder="1" applyProtection="1"/>
    <xf numFmtId="0" fontId="7" fillId="5" borderId="29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7" fillId="0" borderId="27" xfId="0" applyFont="1" applyFill="1" applyBorder="1" applyAlignment="1" applyProtection="1">
      <alignment horizontal="center"/>
    </xf>
    <xf numFmtId="0" fontId="7" fillId="0" borderId="29" xfId="0" applyFont="1" applyBorder="1" applyProtection="1"/>
    <xf numFmtId="0" fontId="7" fillId="0" borderId="29" xfId="0" applyFont="1" applyBorder="1" applyAlignment="1" applyProtection="1">
      <alignment horizontal="center"/>
    </xf>
    <xf numFmtId="0" fontId="7" fillId="9" borderId="31" xfId="0" applyFont="1" applyFill="1" applyBorder="1" applyAlignment="1" applyProtection="1">
      <alignment horizontal="center"/>
    </xf>
    <xf numFmtId="0" fontId="7" fillId="10" borderId="29" xfId="0" applyFont="1" applyFill="1" applyBorder="1" applyAlignment="1" applyProtection="1">
      <alignment horizontal="center"/>
    </xf>
    <xf numFmtId="0" fontId="7" fillId="5" borderId="34" xfId="0" applyFont="1" applyFill="1" applyBorder="1" applyProtection="1"/>
    <xf numFmtId="0" fontId="7" fillId="0" borderId="34" xfId="0" applyFont="1" applyFill="1" applyBorder="1" applyProtection="1"/>
    <xf numFmtId="0" fontId="7" fillId="0" borderId="34" xfId="0" applyFont="1" applyFill="1" applyBorder="1" applyAlignment="1" applyProtection="1">
      <alignment horizontal="center"/>
    </xf>
    <xf numFmtId="0" fontId="7" fillId="10" borderId="80" xfId="0" applyFont="1" applyFill="1" applyBorder="1" applyAlignment="1" applyProtection="1">
      <alignment horizontal="center"/>
    </xf>
    <xf numFmtId="0" fontId="7" fillId="10" borderId="45" xfId="0" applyFont="1" applyFill="1" applyBorder="1" applyAlignment="1" applyProtection="1">
      <alignment horizontal="center"/>
    </xf>
    <xf numFmtId="0" fontId="7" fillId="9" borderId="17" xfId="0" applyFont="1" applyFill="1" applyBorder="1" applyAlignment="1" applyProtection="1">
      <alignment horizontal="center"/>
    </xf>
    <xf numFmtId="0" fontId="7" fillId="9" borderId="42" xfId="0" applyFont="1" applyFill="1" applyBorder="1" applyAlignment="1" applyProtection="1">
      <alignment horizontal="center"/>
    </xf>
    <xf numFmtId="0" fontId="7" fillId="9" borderId="14" xfId="0" applyFont="1" applyFill="1" applyBorder="1" applyAlignment="1" applyProtection="1">
      <alignment horizontal="center"/>
    </xf>
    <xf numFmtId="0" fontId="7" fillId="9" borderId="0" xfId="0" applyFont="1" applyFill="1" applyBorder="1" applyAlignment="1" applyProtection="1">
      <alignment horizontal="center"/>
    </xf>
    <xf numFmtId="0" fontId="7" fillId="5" borderId="22" xfId="0" applyFont="1" applyFill="1" applyBorder="1" applyAlignment="1" applyProtection="1">
      <alignment horizontal="center"/>
    </xf>
    <xf numFmtId="0" fontId="7" fillId="5" borderId="26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center"/>
    </xf>
    <xf numFmtId="0" fontId="7" fillId="0" borderId="34" xfId="0" applyFont="1" applyBorder="1" applyProtection="1"/>
    <xf numFmtId="0" fontId="7" fillId="10" borderId="79" xfId="0" applyFont="1" applyFill="1" applyBorder="1" applyAlignment="1" applyProtection="1">
      <alignment horizontal="center"/>
    </xf>
    <xf numFmtId="0" fontId="7" fillId="10" borderId="0" xfId="0" applyFont="1" applyFill="1" applyBorder="1" applyAlignment="1" applyProtection="1">
      <alignment horizontal="center"/>
    </xf>
    <xf numFmtId="0" fontId="7" fillId="10" borderId="34" xfId="0" applyFont="1" applyFill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5" borderId="33" xfId="0" applyFont="1" applyFill="1" applyBorder="1" applyAlignment="1" applyProtection="1">
      <alignment horizontal="center"/>
    </xf>
    <xf numFmtId="0" fontId="7" fillId="5" borderId="31" xfId="0" applyFont="1" applyFill="1" applyBorder="1" applyProtection="1"/>
    <xf numFmtId="0" fontId="7" fillId="5" borderId="0" xfId="0" applyFont="1" applyFill="1" applyBorder="1" applyProtection="1"/>
    <xf numFmtId="0" fontId="7" fillId="0" borderId="30" xfId="0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10" borderId="29" xfId="0" applyFont="1" applyFill="1" applyBorder="1" applyAlignment="1" applyProtection="1">
      <alignment horizontal="center" vertical="center"/>
    </xf>
    <xf numFmtId="0" fontId="7" fillId="10" borderId="44" xfId="0" applyFont="1" applyFill="1" applyBorder="1" applyAlignment="1" applyProtection="1">
      <alignment horizontal="center" vertical="center"/>
    </xf>
    <xf numFmtId="0" fontId="7" fillId="9" borderId="0" xfId="0" applyFont="1" applyFill="1" applyBorder="1" applyProtection="1"/>
    <xf numFmtId="0" fontId="7" fillId="0" borderId="81" xfId="0" applyFont="1" applyFill="1" applyBorder="1" applyAlignment="1" applyProtection="1">
      <alignment horizontal="center"/>
    </xf>
    <xf numFmtId="0" fontId="7" fillId="10" borderId="81" xfId="0" applyFont="1" applyFill="1" applyBorder="1" applyAlignment="1" applyProtection="1">
      <alignment horizontal="center" vertical="center"/>
    </xf>
    <xf numFmtId="0" fontId="7" fillId="10" borderId="17" xfId="0" applyFont="1" applyFill="1" applyBorder="1" applyAlignment="1" applyProtection="1">
      <alignment horizontal="center"/>
    </xf>
    <xf numFmtId="0" fontId="7" fillId="0" borderId="27" xfId="0" applyFont="1" applyBorder="1" applyProtection="1"/>
    <xf numFmtId="0" fontId="7" fillId="5" borderId="14" xfId="0" applyFont="1" applyFill="1" applyBorder="1" applyAlignment="1" applyProtection="1">
      <alignment horizontal="center"/>
    </xf>
    <xf numFmtId="0" fontId="7" fillId="0" borderId="59" xfId="0" applyFont="1" applyBorder="1" applyProtection="1"/>
    <xf numFmtId="0" fontId="7" fillId="10" borderId="28" xfId="0" applyFont="1" applyFill="1" applyBorder="1" applyAlignment="1" applyProtection="1">
      <alignment horizontal="center"/>
    </xf>
    <xf numFmtId="0" fontId="7" fillId="9" borderId="29" xfId="0" applyFont="1" applyFill="1" applyBorder="1" applyAlignment="1" applyProtection="1">
      <alignment horizontal="center"/>
    </xf>
    <xf numFmtId="0" fontId="7" fillId="0" borderId="81" xfId="0" applyFont="1" applyBorder="1" applyProtection="1"/>
    <xf numFmtId="0" fontId="7" fillId="10" borderId="33" xfId="0" applyFont="1" applyFill="1" applyBorder="1" applyAlignment="1" applyProtection="1">
      <alignment horizontal="center"/>
    </xf>
    <xf numFmtId="0" fontId="7" fillId="9" borderId="31" xfId="0" applyFont="1" applyFill="1" applyBorder="1" applyProtection="1"/>
    <xf numFmtId="0" fontId="7" fillId="9" borderId="0" xfId="0" quotePrefix="1" applyFont="1" applyFill="1" applyBorder="1" applyProtection="1"/>
    <xf numFmtId="0" fontId="7" fillId="0" borderId="26" xfId="0" applyFont="1" applyFill="1" applyBorder="1" applyAlignment="1" applyProtection="1">
      <alignment horizontal="center"/>
    </xf>
    <xf numFmtId="0" fontId="7" fillId="9" borderId="23" xfId="0" applyFont="1" applyFill="1" applyBorder="1" applyProtection="1"/>
    <xf numFmtId="0" fontId="7" fillId="5" borderId="24" xfId="0" applyFont="1" applyFill="1" applyBorder="1" applyAlignment="1" applyProtection="1">
      <alignment horizontal="center"/>
    </xf>
    <xf numFmtId="0" fontId="7" fillId="5" borderId="25" xfId="0" applyFont="1" applyFill="1" applyBorder="1" applyAlignment="1" applyProtection="1">
      <alignment horizontal="center"/>
    </xf>
    <xf numFmtId="0" fontId="7" fillId="9" borderId="4" xfId="0" applyFont="1" applyFill="1" applyBorder="1" applyProtection="1"/>
    <xf numFmtId="0" fontId="7" fillId="5" borderId="4" xfId="0" applyFont="1" applyFill="1" applyBorder="1" applyAlignment="1" applyProtection="1">
      <alignment horizontal="center"/>
    </xf>
    <xf numFmtId="0" fontId="7" fillId="5" borderId="4" xfId="0" applyFont="1" applyFill="1" applyBorder="1" applyProtection="1"/>
    <xf numFmtId="0" fontId="7" fillId="0" borderId="12" xfId="0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11" xfId="0" applyFont="1" applyBorder="1" applyProtection="1"/>
    <xf numFmtId="0" fontId="7" fillId="0" borderId="12" xfId="0" quotePrefix="1" applyFont="1" applyBorder="1" applyAlignment="1" applyProtection="1">
      <alignment horizontal="center"/>
    </xf>
    <xf numFmtId="0" fontId="7" fillId="5" borderId="0" xfId="0" quotePrefix="1" applyFont="1" applyFill="1" applyBorder="1" applyProtection="1"/>
    <xf numFmtId="0" fontId="7" fillId="0" borderId="30" xfId="0" applyFont="1" applyBorder="1" applyProtection="1"/>
    <xf numFmtId="0" fontId="7" fillId="0" borderId="30" xfId="0" quotePrefix="1" applyFont="1" applyBorder="1" applyAlignment="1" applyProtection="1">
      <alignment horizontal="center"/>
    </xf>
    <xf numFmtId="0" fontId="7" fillId="0" borderId="27" xfId="0" quotePrefix="1" applyFont="1" applyBorder="1" applyAlignment="1" applyProtection="1">
      <alignment horizontal="center"/>
    </xf>
    <xf numFmtId="0" fontId="7" fillId="0" borderId="32" xfId="0" applyFont="1" applyBorder="1" applyProtection="1"/>
    <xf numFmtId="0" fontId="7" fillId="0" borderId="32" xfId="0" quotePrefix="1" applyFont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center"/>
    </xf>
    <xf numFmtId="0" fontId="7" fillId="0" borderId="18" xfId="0" applyFont="1" applyFill="1" applyBorder="1" applyProtection="1"/>
    <xf numFmtId="0" fontId="7" fillId="10" borderId="13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7" fillId="10" borderId="0" xfId="0" quotePrefix="1" applyFont="1" applyFill="1" applyBorder="1" applyAlignment="1" applyProtection="1">
      <alignment horizontal="center"/>
    </xf>
    <xf numFmtId="0" fontId="7" fillId="10" borderId="14" xfId="0" applyFont="1" applyFill="1" applyBorder="1" applyAlignment="1" applyProtection="1">
      <alignment horizontal="center"/>
    </xf>
    <xf numFmtId="0" fontId="7" fillId="10" borderId="15" xfId="0" applyFont="1" applyFill="1" applyBorder="1" applyAlignment="1" applyProtection="1">
      <alignment horizontal="center"/>
    </xf>
    <xf numFmtId="0" fontId="7" fillId="10" borderId="18" xfId="0" applyFont="1" applyFill="1" applyBorder="1" applyAlignment="1" applyProtection="1">
      <alignment horizontal="center"/>
    </xf>
    <xf numFmtId="0" fontId="7" fillId="10" borderId="20" xfId="0" applyFont="1" applyFill="1" applyBorder="1" applyAlignment="1" applyProtection="1">
      <alignment horizontal="center"/>
    </xf>
    <xf numFmtId="164" fontId="7" fillId="3" borderId="17" xfId="0" applyNumberFormat="1" applyFont="1" applyFill="1" applyBorder="1" applyAlignment="1" applyProtection="1">
      <alignment horizontal="center"/>
    </xf>
    <xf numFmtId="0" fontId="0" fillId="9" borderId="11" xfId="0" applyFont="1" applyFill="1" applyBorder="1" applyAlignment="1" applyProtection="1">
      <alignment horizontal="center"/>
    </xf>
    <xf numFmtId="0" fontId="0" fillId="10" borderId="12" xfId="0" applyFont="1" applyFill="1" applyBorder="1" applyAlignment="1" applyProtection="1">
      <alignment horizontal="center"/>
    </xf>
    <xf numFmtId="0" fontId="7" fillId="10" borderId="19" xfId="0" applyFont="1" applyFill="1" applyBorder="1" applyAlignment="1" applyProtection="1">
      <alignment horizontal="center"/>
    </xf>
    <xf numFmtId="0" fontId="0" fillId="5" borderId="0" xfId="0" quotePrefix="1" applyFont="1" applyFill="1" applyBorder="1" applyProtection="1"/>
    <xf numFmtId="49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8" borderId="30" xfId="0" applyFill="1" applyBorder="1" applyAlignment="1" applyProtection="1">
      <alignment horizontal="center" vertical="center"/>
      <protection locked="0"/>
    </xf>
    <xf numFmtId="0" fontId="0" fillId="9" borderId="28" xfId="0" applyFont="1" applyFill="1" applyBorder="1" applyProtection="1"/>
    <xf numFmtId="0" fontId="0" fillId="9" borderId="31" xfId="0" applyFont="1" applyFill="1" applyBorder="1" applyProtection="1"/>
    <xf numFmtId="2" fontId="0" fillId="3" borderId="17" xfId="0" quotePrefix="1" applyNumberFormat="1" applyFont="1" applyFill="1" applyBorder="1" applyAlignment="1" applyProtection="1">
      <alignment horizontal="center"/>
    </xf>
    <xf numFmtId="164" fontId="0" fillId="3" borderId="21" xfId="0" applyNumberFormat="1" applyFill="1" applyBorder="1" applyAlignment="1" applyProtection="1">
      <alignment horizontal="center" vertical="center"/>
      <protection locked="0"/>
    </xf>
    <xf numFmtId="1" fontId="0" fillId="3" borderId="17" xfId="0" applyNumberFormat="1" applyFill="1" applyBorder="1" applyAlignment="1" applyProtection="1">
      <alignment horizontal="center" vertical="center"/>
      <protection locked="0"/>
    </xf>
    <xf numFmtId="1" fontId="0" fillId="8" borderId="17" xfId="0" applyNumberFormat="1" applyFill="1" applyBorder="1" applyAlignment="1" applyProtection="1">
      <alignment horizontal="center" vertical="center"/>
      <protection locked="0"/>
    </xf>
    <xf numFmtId="2" fontId="0" fillId="3" borderId="26" xfId="0" applyNumberFormat="1" applyFill="1" applyBorder="1" applyAlignment="1" applyProtection="1">
      <alignment horizontal="center" vertical="center"/>
      <protection locked="0"/>
    </xf>
    <xf numFmtId="1" fontId="0" fillId="8" borderId="42" xfId="0" applyNumberFormat="1" applyFill="1" applyBorder="1" applyAlignment="1" applyProtection="1">
      <alignment horizontal="center" vertical="center"/>
      <protection locked="0"/>
    </xf>
    <xf numFmtId="2" fontId="0" fillId="3" borderId="30" xfId="0" applyNumberFormat="1" applyFill="1" applyBorder="1" applyAlignment="1" applyProtection="1">
      <alignment horizontal="center" vertical="center"/>
      <protection locked="0"/>
    </xf>
    <xf numFmtId="2" fontId="0" fillId="3" borderId="32" xfId="0" applyNumberFormat="1" applyFill="1" applyBorder="1" applyAlignment="1" applyProtection="1">
      <alignment horizontal="center" vertical="center"/>
      <protection locked="0"/>
    </xf>
    <xf numFmtId="1" fontId="0" fillId="3" borderId="30" xfId="0" applyNumberFormat="1" applyFill="1" applyBorder="1" applyAlignment="1" applyProtection="1">
      <alignment horizontal="center" vertical="center"/>
      <protection locked="0"/>
    </xf>
    <xf numFmtId="1" fontId="0" fillId="3" borderId="27" xfId="0" applyNumberFormat="1" applyFill="1" applyBorder="1" applyAlignment="1" applyProtection="1">
      <alignment horizontal="center" vertical="center"/>
      <protection locked="0"/>
    </xf>
    <xf numFmtId="1" fontId="0" fillId="3" borderId="32" xfId="0" applyNumberFormat="1" applyFill="1" applyBorder="1" applyAlignment="1" applyProtection="1">
      <alignment horizontal="center" vertical="center"/>
      <protection locked="0"/>
    </xf>
    <xf numFmtId="164" fontId="0" fillId="3" borderId="32" xfId="0" applyNumberFormat="1" applyFill="1" applyBorder="1" applyAlignment="1" applyProtection="1">
      <alignment horizontal="center" vertical="center"/>
      <protection locked="0"/>
    </xf>
    <xf numFmtId="164" fontId="0" fillId="3" borderId="30" xfId="0" applyNumberFormat="1" applyFill="1" applyBorder="1" applyAlignment="1" applyProtection="1">
      <alignment horizontal="center" vertical="center"/>
      <protection locked="0"/>
    </xf>
    <xf numFmtId="164" fontId="0" fillId="3" borderId="27" xfId="0" applyNumberFormat="1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</xf>
    <xf numFmtId="0" fontId="0" fillId="9" borderId="14" xfId="0" applyFill="1" applyBorder="1" applyAlignment="1" applyProtection="1">
      <alignment horizontal="center" vertical="center"/>
    </xf>
    <xf numFmtId="164" fontId="0" fillId="3" borderId="26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Protection="1">
      <protection locked="0"/>
    </xf>
    <xf numFmtId="0" fontId="9" fillId="0" borderId="0" xfId="0" quotePrefix="1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quotePrefix="1" applyFont="1" applyFill="1" applyBorder="1" applyAlignment="1" applyProtection="1">
      <alignment horizont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9" borderId="0" xfId="0" applyFont="1" applyFill="1" applyBorder="1" applyAlignment="1" applyProtection="1">
      <alignment horizontal="center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Protection="1">
      <protection locked="0"/>
    </xf>
    <xf numFmtId="2" fontId="7" fillId="0" borderId="0" xfId="0" applyNumberFormat="1" applyFont="1" applyFill="1" applyProtection="1">
      <protection locked="0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8" fillId="0" borderId="0" xfId="0" applyFont="1" applyProtection="1">
      <protection hidden="1"/>
    </xf>
    <xf numFmtId="0" fontId="7" fillId="0" borderId="5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6" xfId="0" applyFont="1" applyBorder="1" applyProtection="1"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quotePrefix="1" applyFont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/>
      <protection hidden="1"/>
    </xf>
    <xf numFmtId="0" fontId="7" fillId="0" borderId="4" xfId="0" quotePrefix="1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14" fontId="7" fillId="0" borderId="0" xfId="0" applyNumberFormat="1" applyFont="1" applyBorder="1" applyProtection="1"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1" fontId="7" fillId="2" borderId="4" xfId="0" quotePrefix="1" applyNumberFormat="1" applyFont="1" applyFill="1" applyBorder="1" applyAlignment="1" applyProtection="1">
      <alignment horizontal="center"/>
      <protection hidden="1"/>
    </xf>
    <xf numFmtId="0" fontId="7" fillId="2" borderId="4" xfId="0" quotePrefix="1" applyFont="1" applyFill="1" applyBorder="1" applyAlignment="1" applyProtection="1">
      <alignment horizontal="center"/>
      <protection hidden="1"/>
    </xf>
    <xf numFmtId="22" fontId="7" fillId="0" borderId="0" xfId="0" applyNumberFormat="1" applyFont="1" applyBorder="1" applyAlignment="1" applyProtection="1">
      <alignment horizontal="center"/>
      <protection hidden="1"/>
    </xf>
    <xf numFmtId="1" fontId="7" fillId="2" borderId="4" xfId="0" applyNumberFormat="1" applyFont="1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right"/>
      <protection hidden="1"/>
    </xf>
    <xf numFmtId="0" fontId="7" fillId="0" borderId="0" xfId="0" quotePrefix="1" applyFont="1" applyBorder="1" applyProtection="1"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1" fontId="0" fillId="2" borderId="4" xfId="0" quotePrefix="1" applyNumberFormat="1" applyFont="1" applyFill="1" applyBorder="1" applyAlignment="1" applyProtection="1">
      <alignment horizontal="center"/>
      <protection hidden="1"/>
    </xf>
    <xf numFmtId="164" fontId="7" fillId="2" borderId="4" xfId="0" applyNumberFormat="1" applyFont="1" applyFill="1" applyBorder="1" applyAlignment="1" applyProtection="1">
      <alignment horizontal="center"/>
      <protection hidden="1"/>
    </xf>
    <xf numFmtId="14" fontId="7" fillId="3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left"/>
      <protection hidden="1"/>
    </xf>
    <xf numFmtId="0" fontId="8" fillId="0" borderId="12" xfId="0" applyFont="1" applyBorder="1" applyProtection="1">
      <protection hidden="1"/>
    </xf>
    <xf numFmtId="0" fontId="8" fillId="0" borderId="12" xfId="0" applyFont="1" applyFill="1" applyBorder="1" applyProtection="1">
      <protection hidden="1"/>
    </xf>
    <xf numFmtId="0" fontId="8" fillId="0" borderId="13" xfId="0" applyFont="1" applyBorder="1" applyProtection="1">
      <protection hidden="1"/>
    </xf>
    <xf numFmtId="1" fontId="7" fillId="2" borderId="4" xfId="0" applyNumberFormat="1" applyFont="1" applyFill="1" applyBorder="1" applyProtection="1">
      <protection hidden="1"/>
    </xf>
    <xf numFmtId="49" fontId="7" fillId="0" borderId="5" xfId="0" applyNumberFormat="1" applyFont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14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15" xfId="0" applyFont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17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7" fillId="0" borderId="18" xfId="0" applyFont="1" applyBorder="1" applyProtection="1">
      <protection hidden="1"/>
    </xf>
    <xf numFmtId="0" fontId="7" fillId="0" borderId="19" xfId="0" applyFont="1" applyBorder="1" applyProtection="1">
      <protection hidden="1"/>
    </xf>
    <xf numFmtId="0" fontId="7" fillId="0" borderId="19" xfId="0" applyFont="1" applyFill="1" applyBorder="1" applyProtection="1">
      <protection hidden="1"/>
    </xf>
    <xf numFmtId="0" fontId="7" fillId="0" borderId="20" xfId="0" applyFont="1" applyBorder="1" applyProtection="1">
      <protection hidden="1"/>
    </xf>
    <xf numFmtId="0" fontId="7" fillId="5" borderId="21" xfId="0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2" fontId="7" fillId="3" borderId="17" xfId="0" applyNumberFormat="1" applyFont="1" applyFill="1" applyBorder="1" applyAlignment="1" applyProtection="1">
      <alignment horizontal="center"/>
      <protection hidden="1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1" fontId="9" fillId="2" borderId="11" xfId="0" applyNumberFormat="1" applyFont="1" applyFill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0" fontId="10" fillId="0" borderId="0" xfId="0" quotePrefix="1" applyFont="1" applyProtection="1">
      <protection hidden="1"/>
    </xf>
    <xf numFmtId="0" fontId="8" fillId="0" borderId="5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7" fillId="5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21" borderId="49" xfId="0" applyFont="1" applyFill="1" applyBorder="1" applyAlignment="1" applyProtection="1">
      <alignment horizontal="center"/>
      <protection hidden="1"/>
    </xf>
    <xf numFmtId="0" fontId="7" fillId="14" borderId="50" xfId="0" applyFont="1" applyFill="1" applyBorder="1" applyAlignment="1" applyProtection="1">
      <alignment horizontal="center"/>
      <protection hidden="1"/>
    </xf>
    <xf numFmtId="0" fontId="7" fillId="0" borderId="4" xfId="0" applyFont="1" applyBorder="1" applyProtection="1">
      <protection hidden="1"/>
    </xf>
    <xf numFmtId="0" fontId="7" fillId="16" borderId="4" xfId="0" applyFont="1" applyFill="1" applyBorder="1" applyAlignment="1" applyProtection="1">
      <alignment horizontal="center"/>
      <protection hidden="1"/>
    </xf>
    <xf numFmtId="0" fontId="7" fillId="16" borderId="25" xfId="0" applyFont="1" applyFill="1" applyBorder="1" applyAlignment="1" applyProtection="1">
      <alignment horizontal="center"/>
      <protection hidden="1"/>
    </xf>
    <xf numFmtId="0" fontId="7" fillId="17" borderId="4" xfId="0" applyFont="1" applyFill="1" applyBorder="1" applyAlignment="1" applyProtection="1">
      <alignment horizontal="center"/>
      <protection hidden="1"/>
    </xf>
    <xf numFmtId="0" fontId="7" fillId="17" borderId="23" xfId="0" applyFont="1" applyFill="1" applyBorder="1" applyProtection="1">
      <protection hidden="1"/>
    </xf>
    <xf numFmtId="0" fontId="7" fillId="7" borderId="32" xfId="0" applyFont="1" applyFill="1" applyBorder="1" applyProtection="1">
      <protection hidden="1"/>
    </xf>
    <xf numFmtId="0" fontId="7" fillId="23" borderId="18" xfId="0" applyFont="1" applyFill="1" applyBorder="1" applyProtection="1">
      <protection hidden="1"/>
    </xf>
    <xf numFmtId="0" fontId="0" fillId="0" borderId="96" xfId="0" applyFont="1" applyBorder="1" applyProtection="1">
      <protection hidden="1"/>
    </xf>
    <xf numFmtId="0" fontId="0" fillId="12" borderId="4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" fontId="9" fillId="2" borderId="56" xfId="0" applyNumberFormat="1" applyFont="1" applyFill="1" applyBorder="1" applyProtection="1">
      <protection hidden="1"/>
    </xf>
    <xf numFmtId="0" fontId="7" fillId="2" borderId="40" xfId="0" applyFont="1" applyFill="1" applyBorder="1" applyAlignment="1" applyProtection="1">
      <alignment horizontal="center"/>
      <protection hidden="1"/>
    </xf>
    <xf numFmtId="0" fontId="7" fillId="2" borderId="57" xfId="0" applyFont="1" applyFill="1" applyBorder="1" applyAlignment="1" applyProtection="1">
      <alignment horizontal="center"/>
      <protection hidden="1"/>
    </xf>
    <xf numFmtId="49" fontId="7" fillId="0" borderId="16" xfId="0" applyNumberFormat="1" applyFont="1" applyBorder="1" applyAlignment="1" applyProtection="1">
      <alignment horizontal="center"/>
      <protection hidden="1"/>
    </xf>
    <xf numFmtId="0" fontId="7" fillId="0" borderId="17" xfId="0" applyFont="1" applyBorder="1" applyProtection="1">
      <protection hidden="1"/>
    </xf>
    <xf numFmtId="0" fontId="7" fillId="5" borderId="17" xfId="0" applyFont="1" applyFill="1" applyBorder="1" applyAlignment="1" applyProtection="1">
      <alignment horizontal="center"/>
      <protection hidden="1"/>
    </xf>
    <xf numFmtId="164" fontId="7" fillId="3" borderId="17" xfId="0" applyNumberFormat="1" applyFont="1" applyFill="1" applyBorder="1" applyAlignment="1" applyProtection="1">
      <alignment horizontal="center"/>
      <protection hidden="1"/>
    </xf>
    <xf numFmtId="0" fontId="7" fillId="5" borderId="29" xfId="0" applyFont="1" applyFill="1" applyBorder="1" applyProtection="1">
      <protection hidden="1"/>
    </xf>
    <xf numFmtId="0" fontId="7" fillId="5" borderId="29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1" fontId="7" fillId="0" borderId="5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7" fillId="0" borderId="27" xfId="0" applyFont="1" applyFill="1" applyBorder="1" applyProtection="1">
      <protection hidden="1"/>
    </xf>
    <xf numFmtId="0" fontId="7" fillId="0" borderId="27" xfId="0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14" xfId="0" applyNumberFormat="1" applyFont="1" applyFill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92" xfId="0" applyFont="1" applyBorder="1" applyAlignment="1" applyProtection="1">
      <alignment horizontal="center"/>
      <protection hidden="1"/>
    </xf>
    <xf numFmtId="0" fontId="7" fillId="0" borderId="14" xfId="0" applyFont="1" applyFill="1" applyBorder="1" applyProtection="1">
      <protection hidden="1"/>
    </xf>
    <xf numFmtId="49" fontId="7" fillId="0" borderId="77" xfId="0" applyNumberFormat="1" applyFont="1" applyBorder="1" applyAlignment="1" applyProtection="1">
      <alignment horizontal="center"/>
      <protection hidden="1"/>
    </xf>
    <xf numFmtId="0" fontId="7" fillId="0" borderId="29" xfId="0" applyFont="1" applyBorder="1" applyProtection="1"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7" fillId="9" borderId="31" xfId="0" applyFont="1" applyFill="1" applyBorder="1" applyAlignment="1" applyProtection="1">
      <alignment horizontal="center"/>
      <protection hidden="1"/>
    </xf>
    <xf numFmtId="0" fontId="7" fillId="10" borderId="29" xfId="0" applyFont="1" applyFill="1" applyBorder="1" applyAlignment="1" applyProtection="1">
      <alignment horizontal="center"/>
      <protection hidden="1"/>
    </xf>
    <xf numFmtId="0" fontId="7" fillId="5" borderId="34" xfId="0" applyFont="1" applyFill="1" applyBorder="1" applyProtection="1">
      <protection hidden="1"/>
    </xf>
    <xf numFmtId="0" fontId="7" fillId="13" borderId="0" xfId="0" applyFont="1" applyFill="1" applyBorder="1" applyProtection="1">
      <protection hidden="1"/>
    </xf>
    <xf numFmtId="1" fontId="7" fillId="14" borderId="50" xfId="0" applyNumberFormat="1" applyFont="1" applyFill="1" applyBorder="1" applyAlignment="1" applyProtection="1">
      <alignment horizontal="center"/>
      <protection hidden="1"/>
    </xf>
    <xf numFmtId="0" fontId="7" fillId="0" borderId="27" xfId="0" quotePrefix="1" applyFont="1" applyBorder="1" applyProtection="1">
      <protection hidden="1"/>
    </xf>
    <xf numFmtId="0" fontId="7" fillId="6" borderId="27" xfId="0" applyFont="1" applyFill="1" applyBorder="1" applyAlignment="1" applyProtection="1">
      <alignment horizontal="center"/>
      <protection hidden="1"/>
    </xf>
    <xf numFmtId="0" fontId="7" fillId="0" borderId="93" xfId="0" applyFont="1" applyFill="1" applyBorder="1" applyAlignment="1" applyProtection="1">
      <alignment horizontal="left"/>
      <protection hidden="1"/>
    </xf>
    <xf numFmtId="49" fontId="7" fillId="0" borderId="78" xfId="0" quotePrefix="1" applyNumberFormat="1" applyFont="1" applyFill="1" applyBorder="1" applyAlignment="1" applyProtection="1">
      <alignment horizontal="center"/>
      <protection hidden="1"/>
    </xf>
    <xf numFmtId="0" fontId="7" fillId="0" borderId="34" xfId="0" applyFont="1" applyFill="1" applyBorder="1" applyProtection="1">
      <protection hidden="1"/>
    </xf>
    <xf numFmtId="0" fontId="7" fillId="0" borderId="34" xfId="0" applyFont="1" applyFill="1" applyBorder="1" applyAlignment="1" applyProtection="1">
      <alignment horizontal="center"/>
      <protection hidden="1"/>
    </xf>
    <xf numFmtId="0" fontId="7" fillId="10" borderId="80" xfId="0" applyFont="1" applyFill="1" applyBorder="1" applyAlignment="1" applyProtection="1">
      <alignment horizontal="center"/>
      <protection hidden="1"/>
    </xf>
    <xf numFmtId="0" fontId="7" fillId="10" borderId="45" xfId="0" applyFont="1" applyFill="1" applyBorder="1" applyAlignment="1" applyProtection="1">
      <alignment horizontal="center"/>
      <protection hidden="1"/>
    </xf>
    <xf numFmtId="0" fontId="7" fillId="9" borderId="17" xfId="0" applyFont="1" applyFill="1" applyBorder="1" applyAlignment="1" applyProtection="1">
      <alignment horizontal="center"/>
      <protection hidden="1"/>
    </xf>
    <xf numFmtId="0" fontId="7" fillId="9" borderId="42" xfId="0" applyFont="1" applyFill="1" applyBorder="1" applyAlignment="1" applyProtection="1">
      <alignment horizontal="center"/>
      <protection hidden="1"/>
    </xf>
    <xf numFmtId="0" fontId="7" fillId="9" borderId="14" xfId="0" applyFont="1" applyFill="1" applyBorder="1" applyAlignment="1" applyProtection="1">
      <alignment horizontal="center"/>
      <protection hidden="1"/>
    </xf>
    <xf numFmtId="0" fontId="7" fillId="9" borderId="0" xfId="0" applyFont="1" applyFill="1" applyBorder="1" applyAlignment="1" applyProtection="1">
      <alignment horizontal="center"/>
      <protection hidden="1"/>
    </xf>
    <xf numFmtId="1" fontId="7" fillId="0" borderId="14" xfId="0" applyNumberFormat="1" applyFont="1" applyFill="1" applyBorder="1" applyAlignment="1" applyProtection="1">
      <alignment horizontal="center"/>
      <protection hidden="1"/>
    </xf>
    <xf numFmtId="0" fontId="7" fillId="0" borderId="93" xfId="0" applyFont="1" applyFill="1" applyBorder="1" applyProtection="1">
      <protection hidden="1"/>
    </xf>
    <xf numFmtId="49" fontId="7" fillId="0" borderId="16" xfId="0" quotePrefix="1" applyNumberFormat="1" applyFont="1" applyBorder="1" applyAlignment="1" applyProtection="1">
      <alignment horizontal="center"/>
      <protection hidden="1"/>
    </xf>
    <xf numFmtId="0" fontId="7" fillId="5" borderId="22" xfId="0" applyFont="1" applyFill="1" applyBorder="1" applyAlignment="1" applyProtection="1">
      <alignment horizontal="center"/>
      <protection hidden="1"/>
    </xf>
    <xf numFmtId="1" fontId="7" fillId="3" borderId="17" xfId="0" applyNumberFormat="1" applyFont="1" applyFill="1" applyBorder="1" applyAlignment="1" applyProtection="1">
      <alignment horizontal="center"/>
      <protection hidden="1"/>
    </xf>
    <xf numFmtId="0" fontId="7" fillId="10" borderId="0" xfId="0" applyFont="1" applyFill="1" applyAlignment="1" applyProtection="1">
      <alignment horizontal="center"/>
      <protection hidden="1"/>
    </xf>
    <xf numFmtId="0" fontId="7" fillId="13" borderId="0" xfId="0" applyFont="1" applyFill="1" applyProtection="1"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7" fillId="21" borderId="5" xfId="0" applyFont="1" applyFill="1" applyBorder="1" applyAlignment="1" applyProtection="1">
      <alignment horizontal="center"/>
      <protection hidden="1"/>
    </xf>
    <xf numFmtId="0" fontId="7" fillId="0" borderId="93" xfId="0" applyFont="1" applyBorder="1" applyAlignment="1" applyProtection="1">
      <alignment horizontal="center"/>
      <protection hidden="1"/>
    </xf>
    <xf numFmtId="0" fontId="7" fillId="5" borderId="26" xfId="0" applyFont="1" applyFill="1" applyBorder="1" applyAlignment="1" applyProtection="1">
      <alignment horizontal="center"/>
      <protection hidden="1"/>
    </xf>
    <xf numFmtId="0" fontId="10" fillId="9" borderId="0" xfId="0" applyFont="1" applyFill="1" applyBorder="1" applyAlignment="1" applyProtection="1">
      <alignment horizontal="center"/>
      <protection hidden="1"/>
    </xf>
    <xf numFmtId="0" fontId="11" fillId="9" borderId="0" xfId="0" applyFont="1" applyFill="1" applyBorder="1" applyAlignment="1" applyProtection="1">
      <alignment horizontal="center"/>
      <protection hidden="1"/>
    </xf>
    <xf numFmtId="0" fontId="7" fillId="3" borderId="27" xfId="0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center"/>
      <protection hidden="1"/>
    </xf>
    <xf numFmtId="0" fontId="7" fillId="0" borderId="93" xfId="0" applyFont="1" applyFill="1" applyBorder="1" applyAlignment="1" applyProtection="1">
      <alignment horizontal="center"/>
      <protection hidden="1"/>
    </xf>
    <xf numFmtId="0" fontId="7" fillId="0" borderId="0" xfId="0" quotePrefix="1" applyFont="1" applyFill="1" applyBorder="1" applyProtection="1">
      <protection hidden="1"/>
    </xf>
    <xf numFmtId="49" fontId="7" fillId="0" borderId="78" xfId="0" applyNumberFormat="1" applyFont="1" applyBorder="1" applyAlignment="1" applyProtection="1">
      <alignment horizontal="center"/>
      <protection hidden="1"/>
    </xf>
    <xf numFmtId="0" fontId="7" fillId="0" borderId="34" xfId="0" applyFont="1" applyBorder="1" applyProtection="1">
      <protection hidden="1"/>
    </xf>
    <xf numFmtId="0" fontId="7" fillId="10" borderId="79" xfId="0" applyFont="1" applyFill="1" applyBorder="1" applyAlignment="1" applyProtection="1">
      <alignment horizontal="center"/>
      <protection hidden="1"/>
    </xf>
    <xf numFmtId="0" fontId="7" fillId="10" borderId="0" xfId="0" applyFont="1" applyFill="1" applyBorder="1" applyAlignment="1" applyProtection="1">
      <alignment horizontal="center"/>
      <protection hidden="1"/>
    </xf>
    <xf numFmtId="0" fontId="7" fillId="10" borderId="34" xfId="0" applyFont="1" applyFill="1" applyBorder="1" applyAlignment="1" applyProtection="1">
      <alignment horizontal="center"/>
      <protection hidden="1"/>
    </xf>
    <xf numFmtId="17" fontId="7" fillId="0" borderId="0" xfId="0" quotePrefix="1" applyNumberFormat="1" applyFont="1" applyFill="1" applyBorder="1" applyProtection="1">
      <protection hidden="1"/>
    </xf>
    <xf numFmtId="0" fontId="7" fillId="0" borderId="26" xfId="0" applyFont="1" applyBorder="1" applyAlignment="1" applyProtection="1">
      <alignment horizontal="center"/>
      <protection hidden="1"/>
    </xf>
    <xf numFmtId="0" fontId="7" fillId="5" borderId="33" xfId="0" applyFont="1" applyFill="1" applyBorder="1" applyAlignment="1" applyProtection="1">
      <alignment horizontal="center"/>
      <protection hidden="1"/>
    </xf>
    <xf numFmtId="0" fontId="7" fillId="5" borderId="31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0" fontId="7" fillId="0" borderId="30" xfId="0" applyFont="1" applyFill="1" applyBorder="1" applyProtection="1">
      <protection hidden="1"/>
    </xf>
    <xf numFmtId="1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2" fontId="0" fillId="3" borderId="17" xfId="0" quotePrefix="1" applyNumberFormat="1" applyFont="1" applyFill="1" applyBorder="1" applyAlignment="1" applyProtection="1">
      <alignment horizontal="center"/>
      <protection hidden="1"/>
    </xf>
    <xf numFmtId="2" fontId="7" fillId="9" borderId="0" xfId="0" applyNumberFormat="1" applyFont="1" applyFill="1" applyBorder="1" applyAlignment="1" applyProtection="1">
      <alignment horizontal="center"/>
      <protection hidden="1"/>
    </xf>
    <xf numFmtId="0" fontId="7" fillId="12" borderId="0" xfId="0" applyFont="1" applyFill="1" applyBorder="1" applyProtection="1">
      <protection hidden="1"/>
    </xf>
    <xf numFmtId="2" fontId="7" fillId="0" borderId="0" xfId="0" quotePrefix="1" applyNumberFormat="1" applyFont="1" applyAlignment="1" applyProtection="1">
      <alignment horizont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0" fontId="7" fillId="7" borderId="60" xfId="0" applyFont="1" applyFill="1" applyBorder="1" applyAlignment="1" applyProtection="1">
      <alignment horizontal="center"/>
      <protection hidden="1"/>
    </xf>
    <xf numFmtId="0" fontId="7" fillId="23" borderId="14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Protection="1">
      <protection hidden="1"/>
    </xf>
    <xf numFmtId="0" fontId="7" fillId="0" borderId="35" xfId="0" applyFont="1" applyBorder="1" applyProtection="1">
      <protection hidden="1"/>
    </xf>
    <xf numFmtId="0" fontId="7" fillId="0" borderId="36" xfId="0" applyFont="1" applyBorder="1" applyProtection="1">
      <protection hidden="1"/>
    </xf>
    <xf numFmtId="0" fontId="7" fillId="0" borderId="37" xfId="0" applyFont="1" applyBorder="1" applyProtection="1">
      <protection hidden="1"/>
    </xf>
    <xf numFmtId="49" fontId="7" fillId="0" borderId="5" xfId="0" applyNumberFormat="1" applyFont="1" applyBorder="1" applyProtection="1">
      <protection hidden="1"/>
    </xf>
    <xf numFmtId="49" fontId="7" fillId="0" borderId="0" xfId="0" applyNumberFormat="1" applyFont="1" applyProtection="1">
      <protection hidden="1"/>
    </xf>
    <xf numFmtId="49" fontId="12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49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0" fillId="0" borderId="27" xfId="0" quotePrefix="1" applyFont="1" applyBorder="1" applyProtection="1">
      <protection hidden="1"/>
    </xf>
    <xf numFmtId="1" fontId="7" fillId="15" borderId="0" xfId="0" applyNumberFormat="1" applyFont="1" applyFill="1" applyAlignment="1" applyProtection="1">
      <alignment horizontal="center" vertical="center"/>
      <protection hidden="1"/>
    </xf>
    <xf numFmtId="0" fontId="7" fillId="19" borderId="14" xfId="0" applyFont="1" applyFill="1" applyBorder="1" applyAlignment="1" applyProtection="1">
      <alignment horizontal="center"/>
      <protection hidden="1"/>
    </xf>
    <xf numFmtId="0" fontId="7" fillId="22" borderId="93" xfId="0" applyFont="1" applyFill="1" applyBorder="1" applyAlignment="1" applyProtection="1">
      <alignment horizontal="center"/>
      <protection hidden="1"/>
    </xf>
    <xf numFmtId="0" fontId="7" fillId="12" borderId="95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Protection="1">
      <protection hidden="1"/>
    </xf>
    <xf numFmtId="49" fontId="7" fillId="0" borderId="0" xfId="0" applyNumberFormat="1" applyFont="1" applyBorder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49" fontId="7" fillId="0" borderId="43" xfId="0" applyNumberFormat="1" applyFont="1" applyFill="1" applyBorder="1" applyAlignment="1" applyProtection="1">
      <alignment horizontal="center" vertical="center"/>
      <protection hidden="1"/>
    </xf>
    <xf numFmtId="0" fontId="7" fillId="5" borderId="33" xfId="0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49" fontId="7" fillId="0" borderId="77" xfId="0" applyNumberFormat="1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left" vertical="center"/>
      <protection hidden="1"/>
    </xf>
    <xf numFmtId="0" fontId="7" fillId="0" borderId="59" xfId="0" applyFont="1" applyFill="1" applyBorder="1" applyAlignment="1" applyProtection="1">
      <alignment horizontal="center" vertical="center"/>
      <protection hidden="1"/>
    </xf>
    <xf numFmtId="0" fontId="7" fillId="10" borderId="29" xfId="0" applyFont="1" applyFill="1" applyBorder="1" applyAlignment="1" applyProtection="1">
      <alignment horizontal="center" vertical="center"/>
      <protection hidden="1"/>
    </xf>
    <xf numFmtId="0" fontId="7" fillId="10" borderId="44" xfId="0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Border="1" applyProtection="1">
      <protection hidden="1"/>
    </xf>
    <xf numFmtId="0" fontId="0" fillId="9" borderId="0" xfId="0" applyFont="1" applyFill="1" applyBorder="1" applyAlignment="1" applyProtection="1">
      <alignment horizontal="center"/>
      <protection hidden="1"/>
    </xf>
    <xf numFmtId="1" fontId="7" fillId="6" borderId="0" xfId="0" applyNumberFormat="1" applyFont="1" applyFill="1" applyAlignment="1" applyProtection="1">
      <alignment horizontal="center" vertical="center"/>
      <protection hidden="1"/>
    </xf>
    <xf numFmtId="0" fontId="7" fillId="0" borderId="81" xfId="0" applyFont="1" applyFill="1" applyBorder="1" applyAlignment="1" applyProtection="1">
      <alignment horizontal="center"/>
      <protection hidden="1"/>
    </xf>
    <xf numFmtId="0" fontId="7" fillId="10" borderId="81" xfId="0" applyFont="1" applyFill="1" applyBorder="1" applyAlignment="1" applyProtection="1">
      <alignment horizontal="center" vertical="center"/>
      <protection hidden="1"/>
    </xf>
    <xf numFmtId="0" fontId="7" fillId="10" borderId="17" xfId="0" applyFont="1" applyFill="1" applyBorder="1" applyAlignment="1" applyProtection="1">
      <alignment horizontal="center"/>
      <protection hidden="1"/>
    </xf>
    <xf numFmtId="0" fontId="7" fillId="10" borderId="0" xfId="0" applyFont="1" applyFill="1" applyProtection="1">
      <protection hidden="1"/>
    </xf>
    <xf numFmtId="0" fontId="7" fillId="0" borderId="27" xfId="0" applyFont="1" applyBorder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7" fillId="5" borderId="14" xfId="0" applyFont="1" applyFill="1" applyBorder="1" applyAlignment="1" applyProtection="1">
      <alignment horizontal="center"/>
      <protection hidden="1"/>
    </xf>
    <xf numFmtId="0" fontId="7" fillId="3" borderId="14" xfId="0" applyFont="1" applyFill="1" applyBorder="1" applyAlignment="1" applyProtection="1">
      <alignment horizontal="center"/>
      <protection hidden="1"/>
    </xf>
    <xf numFmtId="49" fontId="7" fillId="0" borderId="5" xfId="0" applyNumberFormat="1" applyFont="1" applyFill="1" applyBorder="1" applyAlignment="1" applyProtection="1">
      <alignment vertical="center" wrapText="1"/>
      <protection hidden="1"/>
    </xf>
    <xf numFmtId="49" fontId="7" fillId="4" borderId="0" xfId="0" applyNumberFormat="1" applyFont="1" applyFill="1" applyBorder="1" applyProtection="1">
      <protection hidden="1"/>
    </xf>
    <xf numFmtId="49" fontId="0" fillId="4" borderId="0" xfId="0" applyNumberFormat="1" applyFont="1" applyFill="1" applyBorder="1" applyAlignment="1" applyProtection="1">
      <alignment horizontal="center"/>
      <protection hidden="1"/>
    </xf>
    <xf numFmtId="49" fontId="7" fillId="4" borderId="0" xfId="0" applyNumberFormat="1" applyFont="1" applyFill="1" applyBorder="1" applyAlignment="1" applyProtection="1">
      <alignment horizontal="center"/>
      <protection hidden="1"/>
    </xf>
    <xf numFmtId="0" fontId="7" fillId="0" borderId="59" xfId="0" applyFont="1" applyBorder="1" applyProtection="1">
      <protection hidden="1"/>
    </xf>
    <xf numFmtId="0" fontId="7" fillId="10" borderId="28" xfId="0" applyFont="1" applyFill="1" applyBorder="1" applyAlignment="1" applyProtection="1">
      <alignment horizontal="center"/>
      <protection hidden="1"/>
    </xf>
    <xf numFmtId="0" fontId="7" fillId="9" borderId="29" xfId="0" applyFont="1" applyFill="1" applyBorder="1" applyAlignment="1" applyProtection="1">
      <alignment horizontal="center"/>
      <protection hidden="1"/>
    </xf>
    <xf numFmtId="49" fontId="7" fillId="0" borderId="0" xfId="0" applyNumberFormat="1" applyFont="1" applyFill="1" applyBorder="1" applyProtection="1"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81" xfId="0" applyFont="1" applyBorder="1" applyProtection="1">
      <protection hidden="1"/>
    </xf>
    <xf numFmtId="0" fontId="7" fillId="10" borderId="33" xfId="0" applyFont="1" applyFill="1" applyBorder="1" applyAlignment="1" applyProtection="1">
      <alignment horizontal="center"/>
      <protection hidden="1"/>
    </xf>
    <xf numFmtId="49" fontId="7" fillId="11" borderId="5" xfId="0" applyNumberFormat="1" applyFont="1" applyFill="1" applyBorder="1" applyAlignment="1" applyProtection="1">
      <alignment horizontal="right" vertical="center" wrapText="1"/>
      <protection hidden="1"/>
    </xf>
    <xf numFmtId="49" fontId="7" fillId="11" borderId="0" xfId="0" applyNumberFormat="1" applyFont="1" applyFill="1" applyBorder="1" applyProtection="1">
      <protection hidden="1"/>
    </xf>
    <xf numFmtId="49" fontId="7" fillId="11" borderId="0" xfId="0" quotePrefix="1" applyNumberFormat="1" applyFont="1" applyFill="1" applyBorder="1" applyAlignment="1" applyProtection="1">
      <alignment horizontal="center"/>
      <protection hidden="1"/>
    </xf>
    <xf numFmtId="49" fontId="7" fillId="11" borderId="0" xfId="0" applyNumberFormat="1" applyFont="1" applyFill="1" applyBorder="1" applyAlignment="1" applyProtection="1">
      <alignment horizontal="center"/>
      <protection hidden="1"/>
    </xf>
    <xf numFmtId="49" fontId="7" fillId="0" borderId="46" xfId="0" applyNumberFormat="1" applyFont="1" applyBorder="1" applyAlignment="1" applyProtection="1">
      <alignment horizontal="center" vertical="center"/>
      <protection hidden="1"/>
    </xf>
    <xf numFmtId="0" fontId="7" fillId="9" borderId="31" xfId="0" applyFont="1" applyFill="1" applyBorder="1" applyProtection="1">
      <protection hidden="1"/>
    </xf>
    <xf numFmtId="0" fontId="7" fillId="9" borderId="0" xfId="0" quotePrefix="1" applyFont="1" applyFill="1" applyBorder="1" applyProtection="1">
      <protection hidden="1"/>
    </xf>
    <xf numFmtId="2" fontId="7" fillId="5" borderId="0" xfId="0" applyNumberFormat="1" applyFont="1" applyFill="1" applyBorder="1" applyAlignment="1" applyProtection="1">
      <alignment horizontal="center"/>
      <protection hidden="1"/>
    </xf>
    <xf numFmtId="0" fontId="7" fillId="7" borderId="27" xfId="0" applyFont="1" applyFill="1" applyBorder="1" applyAlignment="1" applyProtection="1">
      <alignment horizontal="center"/>
      <protection hidden="1"/>
    </xf>
    <xf numFmtId="49" fontId="7" fillId="0" borderId="5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Protection="1">
      <protection hidden="1"/>
    </xf>
    <xf numFmtId="49" fontId="7" fillId="0" borderId="0" xfId="0" quotePrefix="1" applyNumberFormat="1" applyFont="1" applyFill="1" applyBorder="1" applyAlignment="1" applyProtection="1">
      <alignment horizontal="center"/>
      <protection hidden="1"/>
    </xf>
    <xf numFmtId="49" fontId="7" fillId="0" borderId="47" xfId="0" applyNumberFormat="1" applyFont="1" applyBorder="1" applyAlignment="1" applyProtection="1">
      <alignment vertical="center"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0" fontId="7" fillId="0" borderId="95" xfId="0" applyFont="1" applyFill="1" applyBorder="1" applyAlignment="1" applyProtection="1">
      <alignment horizontal="center"/>
      <protection hidden="1"/>
    </xf>
    <xf numFmtId="49" fontId="7" fillId="0" borderId="48" xfId="0" applyNumberFormat="1" applyFont="1" applyBorder="1" applyAlignment="1" applyProtection="1">
      <alignment vertical="center"/>
      <protection hidden="1"/>
    </xf>
    <xf numFmtId="1" fontId="7" fillId="15" borderId="0" xfId="0" applyNumberFormat="1" applyFont="1" applyFill="1" applyBorder="1" applyAlignment="1" applyProtection="1">
      <alignment horizontal="center" vertical="center"/>
      <protection hidden="1"/>
    </xf>
    <xf numFmtId="49" fontId="0" fillId="11" borderId="0" xfId="0" applyNumberFormat="1" applyFont="1" applyFill="1" applyBorder="1" applyAlignment="1" applyProtection="1">
      <alignment horizontal="center"/>
      <protection hidden="1"/>
    </xf>
    <xf numFmtId="49" fontId="7" fillId="0" borderId="5" xfId="0" applyNumberFormat="1" applyFont="1" applyBorder="1" applyAlignment="1" applyProtection="1">
      <alignment horizontal="center"/>
      <protection hidden="1"/>
    </xf>
    <xf numFmtId="0" fontId="7" fillId="0" borderId="26" xfId="0" applyFont="1" applyFill="1" applyBorder="1" applyAlignment="1" applyProtection="1">
      <alignment horizontal="center"/>
      <protection hidden="1"/>
    </xf>
    <xf numFmtId="0" fontId="7" fillId="9" borderId="23" xfId="0" applyFont="1" applyFill="1" applyBorder="1" applyProtection="1">
      <protection hidden="1"/>
    </xf>
    <xf numFmtId="0" fontId="7" fillId="5" borderId="24" xfId="0" applyFont="1" applyFill="1" applyBorder="1" applyAlignment="1" applyProtection="1">
      <alignment horizontal="center"/>
      <protection hidden="1"/>
    </xf>
    <xf numFmtId="0" fontId="7" fillId="5" borderId="25" xfId="0" applyFont="1" applyFill="1" applyBorder="1" applyAlignment="1" applyProtection="1">
      <alignment horizontal="center"/>
      <protection hidden="1"/>
    </xf>
    <xf numFmtId="0" fontId="7" fillId="9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center"/>
      <protection hidden="1"/>
    </xf>
    <xf numFmtId="49" fontId="9" fillId="0" borderId="5" xfId="0" applyNumberFormat="1" applyFont="1" applyBorder="1" applyAlignment="1" applyProtection="1">
      <alignment horizontal="left"/>
      <protection hidden="1"/>
    </xf>
    <xf numFmtId="0" fontId="7" fillId="5" borderId="4" xfId="0" applyFont="1" applyFill="1" applyBorder="1" applyProtection="1">
      <protection hidden="1"/>
    </xf>
    <xf numFmtId="49" fontId="7" fillId="7" borderId="5" xfId="0" applyNumberFormat="1" applyFont="1" applyFill="1" applyBorder="1" applyAlignment="1" applyProtection="1">
      <alignment horizontal="right"/>
      <protection hidden="1"/>
    </xf>
    <xf numFmtId="49" fontId="7" fillId="7" borderId="0" xfId="0" applyNumberFormat="1" applyFont="1" applyFill="1" applyBorder="1" applyProtection="1">
      <protection hidden="1"/>
    </xf>
    <xf numFmtId="49" fontId="7" fillId="7" borderId="0" xfId="0" quotePrefix="1" applyNumberFormat="1" applyFont="1" applyFill="1" applyBorder="1" applyAlignment="1" applyProtection="1">
      <alignment horizontal="center"/>
      <protection hidden="1"/>
    </xf>
    <xf numFmtId="49" fontId="7" fillId="7" borderId="0" xfId="0" applyNumberFormat="1" applyFont="1" applyFill="1" applyBorder="1" applyAlignment="1" applyProtection="1">
      <alignment horizontal="center"/>
      <protection hidden="1"/>
    </xf>
    <xf numFmtId="49" fontId="7" fillId="0" borderId="5" xfId="0" applyNumberFormat="1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1" fontId="7" fillId="0" borderId="27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quotePrefix="1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11" xfId="0" applyFont="1" applyBorder="1" applyProtection="1">
      <protection hidden="1"/>
    </xf>
    <xf numFmtId="0" fontId="7" fillId="0" borderId="12" xfId="0" quotePrefix="1" applyFont="1" applyBorder="1" applyAlignment="1" applyProtection="1">
      <alignment horizontal="center"/>
      <protection hidden="1"/>
    </xf>
    <xf numFmtId="0" fontId="0" fillId="5" borderId="0" xfId="0" quotePrefix="1" applyFont="1" applyFill="1" applyBorder="1" applyProtection="1">
      <protection hidden="1"/>
    </xf>
    <xf numFmtId="0" fontId="7" fillId="0" borderId="30" xfId="0" applyFont="1" applyBorder="1" applyProtection="1">
      <protection hidden="1"/>
    </xf>
    <xf numFmtId="0" fontId="7" fillId="0" borderId="30" xfId="0" quotePrefix="1" applyFont="1" applyBorder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0" borderId="27" xfId="0" quotePrefix="1" applyFont="1" applyBorder="1" applyAlignment="1" applyProtection="1">
      <alignment horizontal="center"/>
      <protection hidden="1"/>
    </xf>
    <xf numFmtId="0" fontId="0" fillId="9" borderId="28" xfId="0" applyFont="1" applyFill="1" applyBorder="1" applyProtection="1">
      <protection hidden="1"/>
    </xf>
    <xf numFmtId="0" fontId="7" fillId="5" borderId="0" xfId="0" quotePrefix="1" applyFont="1" applyFill="1" applyBorder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7" fillId="0" borderId="32" xfId="0" applyFont="1" applyBorder="1" applyProtection="1">
      <protection hidden="1"/>
    </xf>
    <xf numFmtId="0" fontId="7" fillId="0" borderId="32" xfId="0" quotePrefix="1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center"/>
      <protection hidden="1"/>
    </xf>
    <xf numFmtId="0" fontId="0" fillId="9" borderId="31" xfId="0" applyFont="1" applyFill="1" applyBorder="1" applyProtection="1">
      <protection hidden="1"/>
    </xf>
    <xf numFmtId="0" fontId="7" fillId="0" borderId="39" xfId="0" applyFont="1" applyBorder="1" applyProtection="1">
      <protection hidden="1"/>
    </xf>
    <xf numFmtId="0" fontId="7" fillId="0" borderId="40" xfId="0" applyFont="1" applyBorder="1" applyProtection="1">
      <protection hidden="1"/>
    </xf>
    <xf numFmtId="49" fontId="7" fillId="0" borderId="40" xfId="0" applyNumberFormat="1" applyFont="1" applyBorder="1" applyProtection="1">
      <protection hidden="1"/>
    </xf>
    <xf numFmtId="0" fontId="7" fillId="0" borderId="41" xfId="0" applyFont="1" applyBorder="1" applyProtection="1">
      <protection hidden="1"/>
    </xf>
    <xf numFmtId="0" fontId="7" fillId="0" borderId="18" xfId="0" applyFont="1" applyFill="1" applyBorder="1" applyProtection="1">
      <protection hidden="1"/>
    </xf>
    <xf numFmtId="0" fontId="0" fillId="9" borderId="11" xfId="0" applyFont="1" applyFill="1" applyBorder="1" applyAlignment="1" applyProtection="1">
      <alignment horizontal="center"/>
      <protection hidden="1"/>
    </xf>
    <xf numFmtId="0" fontId="0" fillId="10" borderId="12" xfId="0" applyFont="1" applyFill="1" applyBorder="1" applyAlignment="1" applyProtection="1">
      <alignment horizontal="center"/>
      <protection hidden="1"/>
    </xf>
    <xf numFmtId="0" fontId="7" fillId="10" borderId="13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7" fillId="10" borderId="0" xfId="0" quotePrefix="1" applyFont="1" applyFill="1" applyBorder="1" applyAlignment="1" applyProtection="1">
      <alignment horizontal="center"/>
      <protection hidden="1"/>
    </xf>
    <xf numFmtId="0" fontId="7" fillId="10" borderId="14" xfId="0" applyFont="1" applyFill="1" applyBorder="1" applyAlignment="1" applyProtection="1">
      <alignment horizontal="center"/>
      <protection hidden="1"/>
    </xf>
    <xf numFmtId="0" fontId="7" fillId="10" borderId="15" xfId="0" applyFont="1" applyFill="1" applyBorder="1" applyAlignment="1" applyProtection="1">
      <alignment horizontal="center"/>
      <protection hidden="1"/>
    </xf>
    <xf numFmtId="1" fontId="7" fillId="12" borderId="0" xfId="0" applyNumberFormat="1" applyFont="1" applyFill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Protection="1">
      <protection hidden="1"/>
    </xf>
    <xf numFmtId="0" fontId="0" fillId="0" borderId="30" xfId="0" quotePrefix="1" applyFont="1" applyFill="1" applyBorder="1" applyAlignment="1" applyProtection="1">
      <alignment horizontal="center"/>
      <protection hidden="1"/>
    </xf>
    <xf numFmtId="49" fontId="0" fillId="0" borderId="11" xfId="0" quotePrefix="1" applyNumberFormat="1" applyFont="1" applyFill="1" applyBorder="1" applyAlignment="1" applyProtection="1">
      <alignment horizontal="center"/>
      <protection hidden="1"/>
    </xf>
    <xf numFmtId="49" fontId="0" fillId="0" borderId="13" xfId="0" quotePrefix="1" applyNumberFormat="1" applyFont="1" applyFill="1" applyBorder="1" applyAlignment="1" applyProtection="1">
      <alignment horizontal="center"/>
      <protection hidden="1"/>
    </xf>
    <xf numFmtId="49" fontId="0" fillId="0" borderId="12" xfId="0" quotePrefix="1" applyNumberFormat="1" applyFont="1" applyFill="1" applyBorder="1" applyAlignment="1" applyProtection="1">
      <alignment horizontal="center"/>
      <protection hidden="1"/>
    </xf>
    <xf numFmtId="0" fontId="0" fillId="0" borderId="12" xfId="0" quotePrefix="1" applyFont="1" applyFill="1" applyBorder="1" applyAlignment="1" applyProtection="1">
      <alignment horizontal="center"/>
      <protection hidden="1"/>
    </xf>
    <xf numFmtId="0" fontId="7" fillId="10" borderId="18" xfId="0" applyFont="1" applyFill="1" applyBorder="1" applyAlignment="1" applyProtection="1">
      <alignment horizontal="center"/>
      <protection hidden="1"/>
    </xf>
    <xf numFmtId="0" fontId="7" fillId="10" borderId="19" xfId="0" applyFont="1" applyFill="1" applyBorder="1" applyAlignment="1" applyProtection="1">
      <alignment horizontal="center"/>
      <protection hidden="1"/>
    </xf>
    <xf numFmtId="0" fontId="7" fillId="10" borderId="20" xfId="0" applyFont="1" applyFill="1" applyBorder="1" applyAlignment="1" applyProtection="1">
      <alignment horizontal="center"/>
      <protection hidden="1"/>
    </xf>
    <xf numFmtId="0" fontId="7" fillId="22" borderId="14" xfId="0" applyFont="1" applyFill="1" applyBorder="1" applyProtection="1">
      <protection hidden="1"/>
    </xf>
    <xf numFmtId="0" fontId="7" fillId="22" borderId="27" xfId="0" applyFont="1" applyFill="1" applyBorder="1" applyAlignment="1" applyProtection="1">
      <alignment horizontal="center"/>
      <protection hidden="1"/>
    </xf>
    <xf numFmtId="49" fontId="7" fillId="22" borderId="14" xfId="0" applyNumberFormat="1" applyFont="1" applyFill="1" applyBorder="1" applyAlignment="1" applyProtection="1">
      <alignment horizontal="center"/>
      <protection hidden="1"/>
    </xf>
    <xf numFmtId="49" fontId="7" fillId="22" borderId="15" xfId="0" applyNumberFormat="1" applyFont="1" applyFill="1" applyBorder="1" applyAlignment="1" applyProtection="1">
      <alignment horizontal="center"/>
      <protection hidden="1"/>
    </xf>
    <xf numFmtId="49" fontId="7" fillId="22" borderId="0" xfId="0" applyNumberFormat="1" applyFont="1" applyFill="1" applyBorder="1" applyAlignment="1" applyProtection="1">
      <alignment horizontal="center"/>
      <protection hidden="1"/>
    </xf>
    <xf numFmtId="0" fontId="7" fillId="22" borderId="0" xfId="0" applyFont="1" applyFill="1" applyBorder="1" applyAlignment="1" applyProtection="1">
      <alignment horizontal="center"/>
      <protection hidden="1"/>
    </xf>
    <xf numFmtId="0" fontId="7" fillId="21" borderId="49" xfId="0" applyFont="1" applyFill="1" applyBorder="1" applyProtection="1">
      <protection hidden="1"/>
    </xf>
    <xf numFmtId="0" fontId="7" fillId="14" borderId="50" xfId="0" applyFont="1" applyFill="1" applyBorder="1" applyProtection="1"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22" borderId="14" xfId="0" applyFont="1" applyFill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right"/>
      <protection hidden="1"/>
    </xf>
    <xf numFmtId="2" fontId="7" fillId="0" borderId="17" xfId="0" applyNumberFormat="1" applyFont="1" applyBorder="1" applyAlignment="1" applyProtection="1">
      <alignment horizontal="center"/>
      <protection hidden="1"/>
    </xf>
    <xf numFmtId="1" fontId="7" fillId="12" borderId="0" xfId="0" applyNumberFormat="1" applyFont="1" applyFill="1" applyBorder="1" applyAlignment="1" applyProtection="1">
      <alignment horizontal="left"/>
      <protection hidden="1"/>
    </xf>
    <xf numFmtId="0" fontId="7" fillId="0" borderId="55" xfId="0" applyFont="1" applyFill="1" applyBorder="1" applyAlignment="1" applyProtection="1">
      <alignment horizontal="center"/>
      <protection hidden="1"/>
    </xf>
    <xf numFmtId="0" fontId="7" fillId="21" borderId="50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right"/>
      <protection hidden="1"/>
    </xf>
    <xf numFmtId="1" fontId="7" fillId="0" borderId="17" xfId="0" applyNumberFormat="1" applyFont="1" applyBorder="1" applyAlignment="1" applyProtection="1">
      <alignment horizontal="center"/>
      <protection hidden="1"/>
    </xf>
    <xf numFmtId="0" fontId="7" fillId="0" borderId="32" xfId="0" applyFont="1" applyFill="1" applyBorder="1" applyProtection="1">
      <protection hidden="1"/>
    </xf>
    <xf numFmtId="0" fontId="7" fillId="0" borderId="29" xfId="0" applyFont="1" applyBorder="1" applyAlignment="1" applyProtection="1">
      <alignment horizontal="right"/>
      <protection hidden="1"/>
    </xf>
    <xf numFmtId="0" fontId="7" fillId="6" borderId="30" xfId="0" applyFont="1" applyFill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23" borderId="11" xfId="0" applyFont="1" applyFill="1" applyBorder="1" applyAlignment="1" applyProtection="1">
      <alignment horizontal="center" vertical="center"/>
      <protection hidden="1"/>
    </xf>
    <xf numFmtId="0" fontId="7" fillId="22" borderId="92" xfId="0" applyFont="1" applyFill="1" applyBorder="1" applyAlignment="1" applyProtection="1">
      <alignment horizontal="center" vertical="center"/>
      <protection hidden="1"/>
    </xf>
    <xf numFmtId="0" fontId="7" fillId="12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15" borderId="32" xfId="0" applyFont="1" applyFill="1" applyBorder="1" applyAlignment="1" applyProtection="1">
      <alignment horizontal="center"/>
      <protection hidden="1"/>
    </xf>
    <xf numFmtId="0" fontId="7" fillId="20" borderId="18" xfId="0" applyFont="1" applyFill="1" applyBorder="1" applyAlignment="1" applyProtection="1">
      <alignment horizontal="center"/>
      <protection hidden="1"/>
    </xf>
    <xf numFmtId="0" fontId="7" fillId="0" borderId="9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1" fontId="7" fillId="0" borderId="0" xfId="0" applyNumberFormat="1" applyFont="1" applyAlignment="1" applyProtection="1">
      <alignment horizontal="left"/>
      <protection hidden="1"/>
    </xf>
    <xf numFmtId="0" fontId="9" fillId="0" borderId="30" xfId="0" applyFont="1" applyBorder="1" applyProtection="1">
      <protection hidden="1"/>
    </xf>
    <xf numFmtId="164" fontId="9" fillId="6" borderId="30" xfId="0" applyNumberFormat="1" applyFont="1" applyFill="1" applyBorder="1" applyAlignment="1" applyProtection="1">
      <alignment horizontal="center" vertical="center"/>
      <protection hidden="1"/>
    </xf>
    <xf numFmtId="164" fontId="9" fillId="3" borderId="30" xfId="0" applyNumberFormat="1" applyFont="1" applyFill="1" applyBorder="1" applyAlignment="1" applyProtection="1">
      <alignment horizontal="center" vertical="center"/>
      <protection hidden="1"/>
    </xf>
    <xf numFmtId="164" fontId="9" fillId="3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93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7" borderId="35" xfId="0" applyFont="1" applyFill="1" applyBorder="1" applyAlignment="1" applyProtection="1">
      <alignment horizontal="center"/>
      <protection hidden="1"/>
    </xf>
    <xf numFmtId="0" fontId="8" fillId="7" borderId="36" xfId="0" applyFont="1" applyFill="1" applyBorder="1" applyAlignment="1" applyProtection="1">
      <alignment horizontal="center"/>
      <protection hidden="1"/>
    </xf>
    <xf numFmtId="0" fontId="8" fillId="7" borderId="37" xfId="0" applyFont="1" applyFill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left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9" fillId="0" borderId="27" xfId="0" applyFont="1" applyFill="1" applyBorder="1" applyProtection="1">
      <protection hidden="1"/>
    </xf>
    <xf numFmtId="164" fontId="9" fillId="18" borderId="27" xfId="0" applyNumberFormat="1" applyFont="1" applyFill="1" applyBorder="1" applyAlignment="1" applyProtection="1">
      <alignment horizontal="center" vertical="center"/>
      <protection hidden="1"/>
    </xf>
    <xf numFmtId="164" fontId="9" fillId="19" borderId="1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" fontId="8" fillId="0" borderId="0" xfId="0" applyNumberFormat="1" applyFont="1" applyAlignment="1" applyProtection="1">
      <protection hidden="1"/>
    </xf>
    <xf numFmtId="0" fontId="9" fillId="0" borderId="32" xfId="0" applyFont="1" applyFill="1" applyBorder="1" applyProtection="1">
      <protection hidden="1"/>
    </xf>
    <xf numFmtId="164" fontId="7" fillId="7" borderId="20" xfId="0" applyNumberFormat="1" applyFont="1" applyFill="1" applyBorder="1" applyAlignment="1" applyProtection="1">
      <alignment horizontal="center"/>
      <protection hidden="1"/>
    </xf>
    <xf numFmtId="164" fontId="7" fillId="23" borderId="18" xfId="0" applyNumberFormat="1" applyFont="1" applyFill="1" applyBorder="1" applyAlignment="1" applyProtection="1">
      <alignment horizontal="center"/>
      <protection hidden="1"/>
    </xf>
    <xf numFmtId="164" fontId="7" fillId="22" borderId="94" xfId="0" applyNumberFormat="1" applyFont="1" applyFill="1" applyBorder="1" applyAlignment="1" applyProtection="1">
      <alignment horizontal="center" vertical="center"/>
      <protection hidden="1"/>
    </xf>
    <xf numFmtId="164" fontId="7" fillId="12" borderId="19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9" fillId="0" borderId="61" xfId="0" applyFont="1" applyBorder="1" applyProtection="1">
      <protection hidden="1"/>
    </xf>
    <xf numFmtId="0" fontId="7" fillId="0" borderId="62" xfId="0" applyFont="1" applyBorder="1" applyProtection="1">
      <protection hidden="1"/>
    </xf>
    <xf numFmtId="0" fontId="7" fillId="0" borderId="63" xfId="0" applyFont="1" applyFill="1" applyBorder="1" applyProtection="1">
      <protection hidden="1"/>
    </xf>
    <xf numFmtId="0" fontId="7" fillId="4" borderId="11" xfId="0" applyFont="1" applyFill="1" applyBorder="1" applyProtection="1">
      <protection hidden="1"/>
    </xf>
    <xf numFmtId="0" fontId="7" fillId="4" borderId="30" xfId="0" applyFont="1" applyFill="1" applyBorder="1" applyProtection="1">
      <protection hidden="1"/>
    </xf>
    <xf numFmtId="0" fontId="7" fillId="0" borderId="101" xfId="0" applyFont="1" applyFill="1" applyBorder="1" applyAlignment="1" applyProtection="1">
      <alignment horizontal="left"/>
      <protection hidden="1"/>
    </xf>
    <xf numFmtId="0" fontId="7" fillId="0" borderId="102" xfId="0" applyFont="1" applyFill="1" applyBorder="1" applyAlignment="1" applyProtection="1">
      <alignment horizontal="center"/>
      <protection hidden="1"/>
    </xf>
    <xf numFmtId="0" fontId="7" fillId="0" borderId="103" xfId="0" applyFont="1" applyFill="1" applyBorder="1" applyProtection="1">
      <protection hidden="1"/>
    </xf>
    <xf numFmtId="0" fontId="0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7" fillId="0" borderId="40" xfId="0" applyFont="1" applyBorder="1" applyAlignment="1" applyProtection="1">
      <alignment horizontal="center"/>
      <protection hidden="1"/>
    </xf>
    <xf numFmtId="0" fontId="7" fillId="0" borderId="64" xfId="0" applyFont="1" applyBorder="1" applyProtection="1">
      <protection hidden="1"/>
    </xf>
    <xf numFmtId="0" fontId="7" fillId="4" borderId="14" xfId="0" quotePrefix="1" applyFont="1" applyFill="1" applyBorder="1" applyAlignment="1" applyProtection="1">
      <alignment horizontal="center"/>
      <protection hidden="1"/>
    </xf>
    <xf numFmtId="0" fontId="7" fillId="4" borderId="15" xfId="0" quotePrefix="1" applyFont="1" applyFill="1" applyBorder="1" applyAlignment="1" applyProtection="1">
      <alignment horizontal="center"/>
      <protection hidden="1"/>
    </xf>
    <xf numFmtId="0" fontId="7" fillId="4" borderId="18" xfId="0" quotePrefix="1" applyFont="1" applyFill="1" applyBorder="1" applyAlignment="1" applyProtection="1">
      <alignment horizontal="center"/>
      <protection hidden="1"/>
    </xf>
    <xf numFmtId="0" fontId="7" fillId="4" borderId="19" xfId="0" applyFont="1" applyFill="1" applyBorder="1" applyProtection="1">
      <protection hidden="1"/>
    </xf>
    <xf numFmtId="0" fontId="7" fillId="4" borderId="20" xfId="0" applyFont="1" applyFill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66" xfId="0" applyFont="1" applyBorder="1" applyProtection="1">
      <protection hidden="1"/>
    </xf>
    <xf numFmtId="0" fontId="0" fillId="2" borderId="4" xfId="0" applyFont="1" applyFill="1" applyBorder="1" applyAlignment="1" applyProtection="1">
      <alignment horizontal="right"/>
      <protection hidden="1"/>
    </xf>
    <xf numFmtId="0" fontId="7" fillId="2" borderId="30" xfId="0" quotePrefix="1" applyFont="1" applyFill="1" applyBorder="1" applyAlignment="1" applyProtection="1">
      <alignment horizontal="center"/>
      <protection hidden="1"/>
    </xf>
    <xf numFmtId="0" fontId="7" fillId="2" borderId="72" xfId="0" quotePrefix="1" applyFont="1" applyFill="1" applyBorder="1" applyAlignment="1" applyProtection="1">
      <alignment horizontal="center" vertical="center"/>
      <protection hidden="1"/>
    </xf>
    <xf numFmtId="0" fontId="0" fillId="4" borderId="14" xfId="0" applyFont="1" applyFill="1" applyBorder="1" applyProtection="1">
      <protection hidden="1"/>
    </xf>
    <xf numFmtId="0" fontId="7" fillId="4" borderId="15" xfId="0" applyFont="1" applyFill="1" applyBorder="1" applyProtection="1">
      <protection hidden="1"/>
    </xf>
    <xf numFmtId="0" fontId="7" fillId="4" borderId="23" xfId="0" quotePrefix="1" applyFont="1" applyFill="1" applyBorder="1" applyAlignment="1" applyProtection="1">
      <alignment horizontal="center"/>
      <protection hidden="1"/>
    </xf>
    <xf numFmtId="0" fontId="0" fillId="4" borderId="24" xfId="0" applyFont="1" applyFill="1" applyBorder="1" applyProtection="1">
      <protection hidden="1"/>
    </xf>
    <xf numFmtId="0" fontId="7" fillId="4" borderId="25" xfId="0" applyFont="1" applyFill="1" applyBorder="1" applyProtection="1">
      <protection hidden="1"/>
    </xf>
    <xf numFmtId="0" fontId="7" fillId="0" borderId="66" xfId="0" applyFont="1" applyBorder="1" applyAlignment="1" applyProtection="1">
      <alignment horizontal="center"/>
      <protection hidden="1"/>
    </xf>
    <xf numFmtId="0" fontId="7" fillId="2" borderId="23" xfId="0" applyFont="1" applyFill="1" applyBorder="1" applyProtection="1">
      <protection hidden="1"/>
    </xf>
    <xf numFmtId="0" fontId="0" fillId="2" borderId="73" xfId="0" quotePrefix="1" applyFont="1" applyFill="1" applyBorder="1" applyAlignment="1" applyProtection="1">
      <alignment horizontal="center"/>
      <protection hidden="1"/>
    </xf>
    <xf numFmtId="0" fontId="7" fillId="2" borderId="74" xfId="0" applyFont="1" applyFill="1" applyBorder="1" applyAlignment="1" applyProtection="1">
      <alignment horizontal="center"/>
      <protection hidden="1"/>
    </xf>
    <xf numFmtId="0" fontId="7" fillId="4" borderId="24" xfId="0" applyFont="1" applyFill="1" applyBorder="1" applyProtection="1">
      <protection hidden="1"/>
    </xf>
    <xf numFmtId="0" fontId="0" fillId="0" borderId="0" xfId="0" quotePrefix="1" applyFont="1" applyAlignment="1" applyProtection="1">
      <alignment horizontal="left"/>
      <protection hidden="1"/>
    </xf>
    <xf numFmtId="0" fontId="0" fillId="0" borderId="0" xfId="0" quotePrefix="1" applyFont="1" applyProtection="1">
      <protection hidden="1"/>
    </xf>
    <xf numFmtId="0" fontId="9" fillId="0" borderId="66" xfId="0" applyFont="1" applyBorder="1" applyAlignment="1" applyProtection="1">
      <alignment horizontal="center"/>
      <protection hidden="1"/>
    </xf>
    <xf numFmtId="0" fontId="7" fillId="2" borderId="75" xfId="0" applyFont="1" applyFill="1" applyBorder="1" applyAlignment="1" applyProtection="1">
      <alignment horizontal="center"/>
      <protection hidden="1"/>
    </xf>
    <xf numFmtId="0" fontId="0" fillId="2" borderId="67" xfId="0" quotePrefix="1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Protection="1">
      <protection hidden="1"/>
    </xf>
    <xf numFmtId="0" fontId="7" fillId="2" borderId="67" xfId="0" applyFont="1" applyFill="1" applyBorder="1" applyAlignment="1" applyProtection="1">
      <alignment horizontal="center"/>
      <protection hidden="1"/>
    </xf>
    <xf numFmtId="0" fontId="7" fillId="4" borderId="11" xfId="0" quotePrefix="1" applyFont="1" applyFill="1" applyBorder="1" applyAlignment="1" applyProtection="1">
      <alignment horizontal="center"/>
      <protection hidden="1"/>
    </xf>
    <xf numFmtId="0" fontId="7" fillId="4" borderId="12" xfId="0" applyFont="1" applyFill="1" applyBorder="1" applyProtection="1">
      <protection hidden="1"/>
    </xf>
    <xf numFmtId="0" fontId="7" fillId="4" borderId="13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quotePrefix="1" applyFont="1" applyFill="1" applyBorder="1" applyAlignment="1" applyProtection="1">
      <alignment horizontal="left"/>
      <protection hidden="1"/>
    </xf>
    <xf numFmtId="0" fontId="7" fillId="0" borderId="68" xfId="0" applyFont="1" applyBorder="1" applyProtection="1">
      <protection hidden="1"/>
    </xf>
    <xf numFmtId="0" fontId="7" fillId="0" borderId="69" xfId="0" applyFont="1" applyBorder="1" applyProtection="1">
      <protection hidden="1"/>
    </xf>
    <xf numFmtId="0" fontId="7" fillId="0" borderId="70" xfId="0" applyFont="1" applyFill="1" applyBorder="1" applyAlignment="1" applyProtection="1">
      <alignment horizontal="right"/>
      <protection hidden="1"/>
    </xf>
    <xf numFmtId="0" fontId="9" fillId="0" borderId="69" xfId="0" applyFont="1" applyBorder="1" applyAlignment="1" applyProtection="1">
      <alignment horizontal="center"/>
      <protection hidden="1"/>
    </xf>
    <xf numFmtId="0" fontId="7" fillId="0" borderId="71" xfId="0" applyFont="1" applyBorder="1" applyProtection="1">
      <protection hidden="1"/>
    </xf>
    <xf numFmtId="0" fontId="7" fillId="4" borderId="51" xfId="0" quotePrefix="1" applyFont="1" applyFill="1" applyBorder="1" applyAlignment="1" applyProtection="1">
      <alignment horizontal="center"/>
      <protection hidden="1"/>
    </xf>
    <xf numFmtId="0" fontId="7" fillId="4" borderId="76" xfId="0" applyFont="1" applyFill="1" applyBorder="1" applyProtection="1">
      <protection hidden="1"/>
    </xf>
    <xf numFmtId="0" fontId="7" fillId="4" borderId="52" xfId="0" applyFont="1" applyFill="1" applyBorder="1" applyProtection="1">
      <protection hidden="1"/>
    </xf>
    <xf numFmtId="0" fontId="7" fillId="0" borderId="0" xfId="0" quotePrefix="1" applyFont="1" applyFill="1" applyBorder="1" applyAlignment="1" applyProtection="1">
      <alignment horizontal="center"/>
      <protection hidden="1"/>
    </xf>
    <xf numFmtId="0" fontId="13" fillId="6" borderId="0" xfId="0" applyFont="1" applyFill="1" applyProtection="1">
      <protection hidden="1"/>
    </xf>
    <xf numFmtId="0" fontId="7" fillId="6" borderId="0" xfId="0" applyFont="1" applyFill="1" applyProtection="1">
      <protection hidden="1"/>
    </xf>
    <xf numFmtId="0" fontId="7" fillId="4" borderId="56" xfId="0" applyFont="1" applyFill="1" applyBorder="1" applyProtection="1">
      <protection hidden="1"/>
    </xf>
    <xf numFmtId="0" fontId="7" fillId="4" borderId="57" xfId="0" applyFont="1" applyFill="1" applyBorder="1" applyProtection="1">
      <protection hidden="1"/>
    </xf>
    <xf numFmtId="0" fontId="7" fillId="0" borderId="1" xfId="0" applyFont="1" applyFill="1" applyBorder="1" applyProtection="1">
      <protection hidden="1"/>
    </xf>
    <xf numFmtId="0" fontId="9" fillId="0" borderId="58" xfId="0" applyFont="1" applyFill="1" applyBorder="1" applyProtection="1">
      <protection hidden="1"/>
    </xf>
    <xf numFmtId="0" fontId="2" fillId="0" borderId="39" xfId="0" applyFont="1" applyBorder="1" applyProtection="1">
      <protection hidden="1"/>
    </xf>
    <xf numFmtId="0" fontId="9" fillId="0" borderId="57" xfId="0" applyFont="1" applyFill="1" applyBorder="1" applyProtection="1">
      <protection hidden="1"/>
    </xf>
    <xf numFmtId="0" fontId="0" fillId="0" borderId="97" xfId="0" quotePrefix="1" applyFont="1" applyFill="1" applyBorder="1" applyAlignment="1" applyProtection="1">
      <alignment horizontal="left"/>
      <protection hidden="1"/>
    </xf>
    <xf numFmtId="0" fontId="0" fillId="0" borderId="98" xfId="0" quotePrefix="1" applyFont="1" applyFill="1" applyBorder="1" applyAlignment="1" applyProtection="1">
      <alignment horizontal="left"/>
      <protection hidden="1"/>
    </xf>
    <xf numFmtId="0" fontId="7" fillId="0" borderId="99" xfId="0" applyFont="1" applyFill="1" applyBorder="1" applyProtection="1">
      <protection hidden="1"/>
    </xf>
    <xf numFmtId="49" fontId="7" fillId="0" borderId="0" xfId="0" quotePrefix="1" applyNumberFormat="1" applyFont="1" applyProtection="1">
      <protection hidden="1"/>
    </xf>
    <xf numFmtId="0" fontId="2" fillId="0" borderId="0" xfId="0" quotePrefix="1" applyFont="1" applyBorder="1" applyProtection="1">
      <protection hidden="1"/>
    </xf>
    <xf numFmtId="49" fontId="7" fillId="0" borderId="0" xfId="0" quotePrefix="1" applyNumberFormat="1" applyFont="1" applyFill="1" applyProtection="1">
      <protection hidden="1"/>
    </xf>
    <xf numFmtId="0" fontId="7" fillId="6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quotePrefix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7" fillId="0" borderId="0" xfId="0" quotePrefix="1" applyNumberFormat="1" applyFont="1" applyFill="1" applyBorder="1" applyAlignment="1" applyProtection="1">
      <alignment horizontal="left"/>
      <protection hidden="1"/>
    </xf>
    <xf numFmtId="0" fontId="9" fillId="0" borderId="0" xfId="0" quotePrefix="1" applyFont="1" applyBorder="1" applyAlignment="1" applyProtection="1">
      <alignment horizontal="center"/>
      <protection hidden="1"/>
    </xf>
    <xf numFmtId="0" fontId="7" fillId="24" borderId="0" xfId="0" quotePrefix="1" applyFont="1" applyFill="1" applyProtection="1">
      <protection hidden="1"/>
    </xf>
    <xf numFmtId="0" fontId="7" fillId="24" borderId="0" xfId="0" applyFont="1" applyFill="1" applyProtection="1">
      <protection hidden="1"/>
    </xf>
    <xf numFmtId="0" fontId="7" fillId="24" borderId="0" xfId="0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Protection="1"/>
    <xf numFmtId="0" fontId="0" fillId="0" borderId="0" xfId="0" applyProtection="1"/>
    <xf numFmtId="0" fontId="8" fillId="0" borderId="1" xfId="0" applyFont="1" applyBorder="1" applyProtection="1"/>
    <xf numFmtId="0" fontId="7" fillId="0" borderId="2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Protection="1"/>
    <xf numFmtId="0" fontId="8" fillId="0" borderId="0" xfId="0" applyFont="1" applyProtection="1"/>
    <xf numFmtId="0" fontId="7" fillId="0" borderId="5" xfId="0" applyFont="1" applyBorder="1" applyProtection="1"/>
    <xf numFmtId="0" fontId="7" fillId="0" borderId="6" xfId="0" applyFont="1" applyBorder="1" applyProtection="1"/>
    <xf numFmtId="0" fontId="7" fillId="0" borderId="4" xfId="0" applyFont="1" applyBorder="1" applyAlignment="1" applyProtection="1">
      <alignment horizontal="center"/>
    </xf>
    <xf numFmtId="0" fontId="7" fillId="0" borderId="4" xfId="0" quotePrefix="1" applyFont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4" xfId="0" quotePrefix="1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4" xfId="0" applyFont="1" applyFill="1" applyBorder="1" applyAlignment="1" applyProtection="1">
      <alignment horizontal="center"/>
    </xf>
    <xf numFmtId="1" fontId="7" fillId="2" borderId="4" xfId="0" quotePrefix="1" applyNumberFormat="1" applyFont="1" applyFill="1" applyBorder="1" applyAlignment="1" applyProtection="1">
      <alignment horizontal="center"/>
    </xf>
    <xf numFmtId="0" fontId="7" fillId="2" borderId="4" xfId="0" quotePrefix="1" applyFont="1" applyFill="1" applyBorder="1" applyAlignment="1" applyProtection="1">
      <alignment horizontal="center"/>
    </xf>
    <xf numFmtId="22" fontId="7" fillId="0" borderId="0" xfId="0" applyNumberFormat="1" applyFont="1" applyBorder="1" applyAlignment="1" applyProtection="1">
      <alignment horizontal="center"/>
    </xf>
    <xf numFmtId="1" fontId="7" fillId="2" borderId="4" xfId="0" applyNumberFormat="1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1" fontId="0" fillId="2" borderId="4" xfId="0" quotePrefix="1" applyNumberFormat="1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0" fontId="8" fillId="0" borderId="12" xfId="0" applyFont="1" applyBorder="1" applyProtection="1"/>
    <xf numFmtId="0" fontId="8" fillId="0" borderId="12" xfId="0" applyFont="1" applyFill="1" applyBorder="1" applyProtection="1"/>
    <xf numFmtId="0" fontId="8" fillId="0" borderId="13" xfId="0" applyFont="1" applyBorder="1" applyProtection="1"/>
    <xf numFmtId="1" fontId="7" fillId="2" borderId="4" xfId="0" applyNumberFormat="1" applyFont="1" applyFill="1" applyBorder="1" applyProtection="1"/>
    <xf numFmtId="49" fontId="7" fillId="0" borderId="5" xfId="0" applyNumberFormat="1" applyFont="1" applyBorder="1" applyAlignment="1" applyProtection="1">
      <alignment horizontal="right"/>
    </xf>
    <xf numFmtId="0" fontId="7" fillId="0" borderId="14" xfId="0" applyFont="1" applyBorder="1" applyProtection="1"/>
    <xf numFmtId="0" fontId="7" fillId="0" borderId="0" xfId="0" applyFont="1" applyFill="1" applyBorder="1" applyProtection="1"/>
    <xf numFmtId="0" fontId="7" fillId="0" borderId="15" xfId="0" applyFont="1" applyBorder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7" fillId="0" borderId="19" xfId="0" applyFont="1" applyFill="1" applyBorder="1" applyProtection="1"/>
    <xf numFmtId="0" fontId="7" fillId="0" borderId="20" xfId="0" applyFont="1" applyBorder="1" applyProtection="1"/>
    <xf numFmtId="1" fontId="9" fillId="2" borderId="11" xfId="0" applyNumberFormat="1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10" fillId="0" borderId="0" xfId="0" quotePrefix="1" applyFont="1" applyProtection="1"/>
    <xf numFmtId="0" fontId="8" fillId="0" borderId="5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8" fillId="0" borderId="14" xfId="0" applyFont="1" applyBorder="1" applyAlignment="1" applyProtection="1"/>
    <xf numFmtId="0" fontId="8" fillId="0" borderId="0" xfId="0" applyFont="1" applyFill="1" applyBorder="1" applyAlignment="1" applyProtection="1"/>
    <xf numFmtId="0" fontId="0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21" borderId="49" xfId="0" applyFont="1" applyFill="1" applyBorder="1" applyAlignment="1" applyProtection="1">
      <alignment horizontal="center"/>
    </xf>
    <xf numFmtId="0" fontId="7" fillId="14" borderId="50" xfId="0" applyFont="1" applyFill="1" applyBorder="1" applyAlignment="1" applyProtection="1">
      <alignment horizontal="center"/>
    </xf>
    <xf numFmtId="0" fontId="7" fillId="0" borderId="4" xfId="0" applyFont="1" applyBorder="1" applyProtection="1"/>
    <xf numFmtId="0" fontId="7" fillId="16" borderId="4" xfId="0" applyFont="1" applyFill="1" applyBorder="1" applyAlignment="1" applyProtection="1">
      <alignment horizontal="center"/>
    </xf>
    <xf numFmtId="0" fontId="7" fillId="16" borderId="25" xfId="0" applyFont="1" applyFill="1" applyBorder="1" applyAlignment="1" applyProtection="1">
      <alignment horizontal="center"/>
    </xf>
    <xf numFmtId="0" fontId="7" fillId="17" borderId="4" xfId="0" applyFont="1" applyFill="1" applyBorder="1" applyAlignment="1" applyProtection="1">
      <alignment horizontal="center"/>
    </xf>
    <xf numFmtId="0" fontId="7" fillId="17" borderId="23" xfId="0" applyFont="1" applyFill="1" applyBorder="1" applyProtection="1"/>
    <xf numFmtId="0" fontId="7" fillId="7" borderId="32" xfId="0" applyFont="1" applyFill="1" applyBorder="1" applyProtection="1"/>
    <xf numFmtId="0" fontId="7" fillId="23" borderId="18" xfId="0" applyFont="1" applyFill="1" applyBorder="1" applyProtection="1"/>
    <xf numFmtId="0" fontId="0" fillId="0" borderId="96" xfId="0" applyFont="1" applyBorder="1" applyProtection="1"/>
    <xf numFmtId="0" fontId="0" fillId="12" borderId="4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" fontId="9" fillId="2" borderId="56" xfId="0" applyNumberFormat="1" applyFont="1" applyFill="1" applyBorder="1" applyProtection="1"/>
    <xf numFmtId="0" fontId="7" fillId="2" borderId="40" xfId="0" applyFont="1" applyFill="1" applyBorder="1" applyAlignment="1" applyProtection="1">
      <alignment horizontal="center"/>
    </xf>
    <xf numFmtId="0" fontId="7" fillId="2" borderId="57" xfId="0" applyFont="1" applyFill="1" applyBorder="1" applyAlignment="1" applyProtection="1">
      <alignment horizontal="center"/>
    </xf>
    <xf numFmtId="49" fontId="7" fillId="0" borderId="16" xfId="0" applyNumberFormat="1" applyFont="1" applyBorder="1" applyAlignment="1" applyProtection="1">
      <alignment horizontal="center"/>
    </xf>
    <xf numFmtId="2" fontId="7" fillId="0" borderId="0" xfId="0" applyNumberFormat="1" applyFont="1" applyAlignment="1" applyProtection="1">
      <alignment horizontal="center"/>
    </xf>
    <xf numFmtId="1" fontId="7" fillId="0" borderId="50" xfId="0" applyNumberFormat="1" applyFont="1" applyFill="1" applyBorder="1" applyAlignment="1" applyProtection="1">
      <alignment horizontal="center"/>
    </xf>
    <xf numFmtId="0" fontId="0" fillId="0" borderId="0" xfId="0" applyFont="1" applyFill="1" applyProtection="1"/>
    <xf numFmtId="0" fontId="7" fillId="0" borderId="27" xfId="0" applyFont="1" applyFill="1" applyBorder="1" applyProtection="1"/>
    <xf numFmtId="1" fontId="7" fillId="0" borderId="0" xfId="0" applyNumberFormat="1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92" xfId="0" applyFont="1" applyBorder="1" applyAlignment="1" applyProtection="1">
      <alignment horizontal="center"/>
    </xf>
    <xf numFmtId="0" fontId="7" fillId="0" borderId="14" xfId="0" applyFont="1" applyFill="1" applyBorder="1" applyProtection="1"/>
    <xf numFmtId="49" fontId="7" fillId="0" borderId="77" xfId="0" applyNumberFormat="1" applyFont="1" applyBorder="1" applyAlignment="1" applyProtection="1">
      <alignment horizontal="center"/>
    </xf>
    <xf numFmtId="0" fontId="7" fillId="13" borderId="0" xfId="0" applyFont="1" applyFill="1" applyBorder="1" applyProtection="1"/>
    <xf numFmtId="1" fontId="7" fillId="14" borderId="50" xfId="0" applyNumberFormat="1" applyFont="1" applyFill="1" applyBorder="1" applyAlignment="1" applyProtection="1">
      <alignment horizontal="center"/>
    </xf>
    <xf numFmtId="0" fontId="7" fillId="0" borderId="27" xfId="0" quotePrefix="1" applyFont="1" applyBorder="1" applyProtection="1"/>
    <xf numFmtId="0" fontId="7" fillId="6" borderId="27" xfId="0" applyFont="1" applyFill="1" applyBorder="1" applyAlignment="1" applyProtection="1">
      <alignment horizontal="center"/>
    </xf>
    <xf numFmtId="0" fontId="7" fillId="0" borderId="93" xfId="0" applyFont="1" applyFill="1" applyBorder="1" applyAlignment="1" applyProtection="1">
      <alignment horizontal="left"/>
    </xf>
    <xf numFmtId="49" fontId="7" fillId="0" borderId="78" xfId="0" quotePrefix="1" applyNumberFormat="1" applyFont="1" applyFill="1" applyBorder="1" applyAlignment="1" applyProtection="1">
      <alignment horizontal="center"/>
    </xf>
    <xf numFmtId="1" fontId="7" fillId="0" borderId="14" xfId="0" applyNumberFormat="1" applyFont="1" applyFill="1" applyBorder="1" applyAlignment="1" applyProtection="1">
      <alignment horizontal="center"/>
    </xf>
    <xf numFmtId="0" fontId="7" fillId="0" borderId="93" xfId="0" applyFont="1" applyFill="1" applyBorder="1" applyProtection="1"/>
    <xf numFmtId="49" fontId="7" fillId="0" borderId="16" xfId="0" quotePrefix="1" applyNumberFormat="1" applyFont="1" applyBorder="1" applyAlignment="1" applyProtection="1">
      <alignment horizontal="center"/>
    </xf>
    <xf numFmtId="0" fontId="7" fillId="10" borderId="0" xfId="0" applyFont="1" applyFill="1" applyAlignment="1" applyProtection="1">
      <alignment horizontal="center"/>
    </xf>
    <xf numFmtId="0" fontId="7" fillId="13" borderId="0" xfId="0" applyFont="1" applyFill="1" applyProtection="1"/>
    <xf numFmtId="0" fontId="7" fillId="0" borderId="6" xfId="0" applyFont="1" applyFill="1" applyBorder="1" applyAlignment="1" applyProtection="1">
      <alignment horizontal="center"/>
    </xf>
    <xf numFmtId="0" fontId="7" fillId="21" borderId="5" xfId="0" applyFont="1" applyFill="1" applyBorder="1" applyAlignment="1" applyProtection="1">
      <alignment horizontal="center"/>
    </xf>
    <xf numFmtId="0" fontId="7" fillId="0" borderId="93" xfId="0" applyFont="1" applyBorder="1" applyAlignment="1" applyProtection="1">
      <alignment horizontal="center"/>
    </xf>
    <xf numFmtId="0" fontId="11" fillId="9" borderId="0" xfId="0" applyFont="1" applyFill="1" applyBorder="1" applyAlignment="1" applyProtection="1">
      <alignment horizontal="center"/>
    </xf>
    <xf numFmtId="0" fontId="7" fillId="3" borderId="27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93" xfId="0" applyFont="1" applyFill="1" applyBorder="1" applyAlignment="1" applyProtection="1">
      <alignment horizontal="center"/>
    </xf>
    <xf numFmtId="0" fontId="7" fillId="0" borderId="0" xfId="0" quotePrefix="1" applyFont="1" applyFill="1" applyBorder="1" applyProtection="1"/>
    <xf numFmtId="49" fontId="7" fillId="0" borderId="78" xfId="0" applyNumberFormat="1" applyFont="1" applyBorder="1" applyAlignment="1" applyProtection="1">
      <alignment horizontal="center"/>
    </xf>
    <xf numFmtId="17" fontId="7" fillId="0" borderId="0" xfId="0" quotePrefix="1" applyNumberFormat="1" applyFont="1" applyFill="1" applyBorder="1" applyProtection="1"/>
    <xf numFmtId="0" fontId="7" fillId="0" borderId="30" xfId="0" applyFont="1" applyFill="1" applyBorder="1" applyProtection="1"/>
    <xf numFmtId="1" fontId="7" fillId="0" borderId="12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/>
    </xf>
    <xf numFmtId="2" fontId="7" fillId="9" borderId="0" xfId="0" applyNumberFormat="1" applyFont="1" applyFill="1" applyBorder="1" applyAlignment="1" applyProtection="1">
      <alignment horizontal="center"/>
    </xf>
    <xf numFmtId="0" fontId="7" fillId="12" borderId="0" xfId="0" applyFont="1" applyFill="1" applyBorder="1" applyProtection="1"/>
    <xf numFmtId="2" fontId="7" fillId="0" borderId="0" xfId="0" quotePrefix="1" applyNumberFormat="1" applyFont="1" applyAlignment="1" applyProtection="1">
      <alignment horizontal="center"/>
    </xf>
    <xf numFmtId="1" fontId="7" fillId="0" borderId="0" xfId="0" applyNumberFormat="1" applyFont="1" applyFill="1" applyAlignment="1" applyProtection="1">
      <alignment horizontal="center" vertical="center"/>
    </xf>
    <xf numFmtId="0" fontId="7" fillId="7" borderId="60" xfId="0" applyFont="1" applyFill="1" applyBorder="1" applyAlignment="1" applyProtection="1">
      <alignment horizontal="center"/>
    </xf>
    <xf numFmtId="0" fontId="7" fillId="23" borderId="14" xfId="0" applyFont="1" applyFill="1" applyBorder="1" applyAlignment="1" applyProtection="1">
      <alignment horizontal="center"/>
    </xf>
    <xf numFmtId="0" fontId="0" fillId="0" borderId="14" xfId="0" applyFont="1" applyFill="1" applyBorder="1" applyProtection="1"/>
    <xf numFmtId="0" fontId="7" fillId="0" borderId="35" xfId="0" applyFont="1" applyBorder="1" applyProtection="1"/>
    <xf numFmtId="0" fontId="7" fillId="0" borderId="36" xfId="0" applyFont="1" applyBorder="1" applyProtection="1"/>
    <xf numFmtId="0" fontId="7" fillId="0" borderId="37" xfId="0" applyFont="1" applyBorder="1" applyProtection="1"/>
    <xf numFmtId="49" fontId="7" fillId="0" borderId="5" xfId="0" applyNumberFormat="1" applyFont="1" applyBorder="1" applyProtection="1"/>
    <xf numFmtId="49" fontId="7" fillId="0" borderId="0" xfId="0" applyNumberFormat="1" applyFont="1" applyProtection="1"/>
    <xf numFmtId="49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 vertical="center"/>
    </xf>
    <xf numFmtId="0" fontId="0" fillId="0" borderId="27" xfId="0" quotePrefix="1" applyFont="1" applyBorder="1" applyProtection="1"/>
    <xf numFmtId="1" fontId="7" fillId="15" borderId="0" xfId="0" applyNumberFormat="1" applyFont="1" applyFill="1" applyAlignment="1" applyProtection="1">
      <alignment horizontal="center" vertical="center"/>
    </xf>
    <xf numFmtId="0" fontId="7" fillId="19" borderId="14" xfId="0" applyFont="1" applyFill="1" applyBorder="1" applyAlignment="1" applyProtection="1">
      <alignment horizontal="center"/>
    </xf>
    <xf numFmtId="0" fontId="7" fillId="22" borderId="93" xfId="0" applyFont="1" applyFill="1" applyBorder="1" applyAlignment="1" applyProtection="1">
      <alignment horizontal="center"/>
    </xf>
    <xf numFmtId="0" fontId="7" fillId="12" borderId="95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49" fontId="7" fillId="0" borderId="0" xfId="0" applyNumberFormat="1" applyFont="1" applyBorder="1" applyProtection="1"/>
    <xf numFmtId="49" fontId="7" fillId="0" borderId="0" xfId="0" applyNumberFormat="1" applyFont="1" applyBorder="1" applyAlignment="1" applyProtection="1">
      <alignment horizontal="center"/>
    </xf>
    <xf numFmtId="49" fontId="7" fillId="0" borderId="43" xfId="0" applyNumberFormat="1" applyFont="1" applyFill="1" applyBorder="1" applyAlignment="1" applyProtection="1">
      <alignment horizontal="center" vertical="center"/>
    </xf>
    <xf numFmtId="49" fontId="7" fillId="0" borderId="77" xfId="0" applyNumberFormat="1" applyFont="1" applyFill="1" applyBorder="1" applyAlignment="1" applyProtection="1">
      <alignment horizontal="center" vertical="center"/>
    </xf>
    <xf numFmtId="1" fontId="7" fillId="6" borderId="0" xfId="0" applyNumberFormat="1" applyFont="1" applyFill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49" fontId="7" fillId="0" borderId="5" xfId="0" applyNumberFormat="1" applyFont="1" applyFill="1" applyBorder="1" applyAlignment="1" applyProtection="1">
      <alignment vertical="center" wrapText="1"/>
    </xf>
    <xf numFmtId="49" fontId="7" fillId="4" borderId="0" xfId="0" applyNumberFormat="1" applyFont="1" applyFill="1" applyBorder="1" applyProtection="1"/>
    <xf numFmtId="49" fontId="0" fillId="4" borderId="0" xfId="0" applyNumberFormat="1" applyFont="1" applyFill="1" applyBorder="1" applyAlignment="1" applyProtection="1">
      <alignment horizontal="center"/>
    </xf>
    <xf numFmtId="49" fontId="7" fillId="4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horizontal="center"/>
    </xf>
    <xf numFmtId="49" fontId="7" fillId="11" borderId="5" xfId="0" applyNumberFormat="1" applyFont="1" applyFill="1" applyBorder="1" applyAlignment="1" applyProtection="1">
      <alignment horizontal="right" vertical="center" wrapText="1"/>
    </xf>
    <xf numFmtId="49" fontId="7" fillId="11" borderId="0" xfId="0" applyNumberFormat="1" applyFont="1" applyFill="1" applyBorder="1" applyProtection="1"/>
    <xf numFmtId="49" fontId="7" fillId="11" borderId="0" xfId="0" quotePrefix="1" applyNumberFormat="1" applyFont="1" applyFill="1" applyBorder="1" applyAlignment="1" applyProtection="1">
      <alignment horizontal="center"/>
    </xf>
    <xf numFmtId="49" fontId="7" fillId="11" borderId="0" xfId="0" applyNumberFormat="1" applyFont="1" applyFill="1" applyBorder="1" applyAlignment="1" applyProtection="1">
      <alignment horizontal="center"/>
    </xf>
    <xf numFmtId="49" fontId="7" fillId="0" borderId="46" xfId="0" applyNumberFormat="1" applyFont="1" applyBorder="1" applyAlignment="1" applyProtection="1">
      <alignment horizontal="center" vertical="center"/>
    </xf>
    <xf numFmtId="2" fontId="7" fillId="5" borderId="0" xfId="0" applyNumberFormat="1" applyFont="1" applyFill="1" applyBorder="1" applyAlignment="1" applyProtection="1">
      <alignment horizontal="center"/>
    </xf>
    <xf numFmtId="0" fontId="7" fillId="7" borderId="27" xfId="0" applyFont="1" applyFill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 vertical="center"/>
    </xf>
    <xf numFmtId="49" fontId="0" fillId="0" borderId="0" xfId="0" applyNumberFormat="1" applyFont="1" applyFill="1" applyBorder="1" applyProtection="1"/>
    <xf numFmtId="49" fontId="7" fillId="0" borderId="0" xfId="0" quotePrefix="1" applyNumberFormat="1" applyFont="1" applyFill="1" applyBorder="1" applyAlignment="1" applyProtection="1">
      <alignment horizontal="center"/>
    </xf>
    <xf numFmtId="49" fontId="7" fillId="0" borderId="47" xfId="0" applyNumberFormat="1" applyFont="1" applyBorder="1" applyAlignment="1" applyProtection="1">
      <alignment vertical="center"/>
    </xf>
    <xf numFmtId="0" fontId="7" fillId="0" borderId="95" xfId="0" applyFont="1" applyFill="1" applyBorder="1" applyAlignment="1" applyProtection="1">
      <alignment horizontal="center"/>
    </xf>
    <xf numFmtId="49" fontId="7" fillId="0" borderId="48" xfId="0" applyNumberFormat="1" applyFont="1" applyBorder="1" applyAlignment="1" applyProtection="1">
      <alignment vertical="center"/>
    </xf>
    <xf numFmtId="1" fontId="7" fillId="15" borderId="0" xfId="0" applyNumberFormat="1" applyFont="1" applyFill="1" applyBorder="1" applyAlignment="1" applyProtection="1">
      <alignment horizontal="center" vertical="center"/>
    </xf>
    <xf numFmtId="49" fontId="0" fillId="11" borderId="0" xfId="0" applyNumberFormat="1" applyFont="1" applyFill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/>
    </xf>
    <xf numFmtId="49" fontId="7" fillId="7" borderId="5" xfId="0" applyNumberFormat="1" applyFont="1" applyFill="1" applyBorder="1" applyAlignment="1" applyProtection="1">
      <alignment horizontal="right"/>
    </xf>
    <xf numFmtId="49" fontId="7" fillId="7" borderId="0" xfId="0" applyNumberFormat="1" applyFont="1" applyFill="1" applyBorder="1" applyProtection="1"/>
    <xf numFmtId="49" fontId="7" fillId="7" borderId="0" xfId="0" quotePrefix="1" applyNumberFormat="1" applyFont="1" applyFill="1" applyBorder="1" applyAlignment="1" applyProtection="1">
      <alignment horizontal="center"/>
    </xf>
    <xf numFmtId="49" fontId="7" fillId="7" borderId="0" xfId="0" applyNumberFormat="1" applyFont="1" applyFill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/>
    </xf>
    <xf numFmtId="1" fontId="7" fillId="0" borderId="27" xfId="0" applyNumberFormat="1" applyFont="1" applyFill="1" applyBorder="1" applyAlignment="1" applyProtection="1">
      <alignment horizontal="center" vertical="center"/>
    </xf>
    <xf numFmtId="49" fontId="0" fillId="0" borderId="0" xfId="0" quotePrefix="1" applyNumberFormat="1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7" fillId="0" borderId="39" xfId="0" applyFont="1" applyBorder="1" applyProtection="1"/>
    <xf numFmtId="0" fontId="7" fillId="0" borderId="40" xfId="0" applyFont="1" applyBorder="1" applyProtection="1"/>
    <xf numFmtId="49" fontId="7" fillId="0" borderId="40" xfId="0" applyNumberFormat="1" applyFont="1" applyBorder="1" applyProtection="1"/>
    <xf numFmtId="0" fontId="7" fillId="0" borderId="41" xfId="0" applyFont="1" applyBorder="1" applyProtection="1"/>
    <xf numFmtId="1" fontId="7" fillId="12" borderId="0" xfId="0" applyNumberFormat="1" applyFont="1" applyFill="1" applyAlignment="1" applyProtection="1">
      <alignment horizontal="left"/>
    </xf>
    <xf numFmtId="0" fontId="7" fillId="0" borderId="18" xfId="0" applyFont="1" applyFill="1" applyBorder="1" applyAlignment="1" applyProtection="1">
      <alignment horizontal="center"/>
    </xf>
    <xf numFmtId="0" fontId="7" fillId="0" borderId="11" xfId="0" applyFont="1" applyFill="1" applyBorder="1" applyProtection="1"/>
    <xf numFmtId="0" fontId="0" fillId="0" borderId="30" xfId="0" quotePrefix="1" applyFont="1" applyFill="1" applyBorder="1" applyAlignment="1" applyProtection="1">
      <alignment horizontal="center"/>
    </xf>
    <xf numFmtId="49" fontId="0" fillId="0" borderId="11" xfId="0" quotePrefix="1" applyNumberFormat="1" applyFont="1" applyFill="1" applyBorder="1" applyAlignment="1" applyProtection="1">
      <alignment horizontal="center"/>
    </xf>
    <xf numFmtId="49" fontId="0" fillId="0" borderId="13" xfId="0" quotePrefix="1" applyNumberFormat="1" applyFont="1" applyFill="1" applyBorder="1" applyAlignment="1" applyProtection="1">
      <alignment horizontal="center"/>
    </xf>
    <xf numFmtId="49" fontId="0" fillId="0" borderId="12" xfId="0" quotePrefix="1" applyNumberFormat="1" applyFont="1" applyFill="1" applyBorder="1" applyAlignment="1" applyProtection="1">
      <alignment horizontal="center"/>
    </xf>
    <xf numFmtId="0" fontId="0" fillId="0" borderId="12" xfId="0" quotePrefix="1" applyFont="1" applyFill="1" applyBorder="1" applyAlignment="1" applyProtection="1">
      <alignment horizontal="center"/>
    </xf>
    <xf numFmtId="0" fontId="7" fillId="22" borderId="14" xfId="0" applyFont="1" applyFill="1" applyBorder="1" applyProtection="1"/>
    <xf numFmtId="0" fontId="7" fillId="22" borderId="27" xfId="0" applyFont="1" applyFill="1" applyBorder="1" applyAlignment="1" applyProtection="1">
      <alignment horizontal="center"/>
    </xf>
    <xf numFmtId="49" fontId="7" fillId="22" borderId="14" xfId="0" applyNumberFormat="1" applyFont="1" applyFill="1" applyBorder="1" applyAlignment="1" applyProtection="1">
      <alignment horizontal="center"/>
    </xf>
    <xf numFmtId="49" fontId="7" fillId="22" borderId="15" xfId="0" applyNumberFormat="1" applyFont="1" applyFill="1" applyBorder="1" applyAlignment="1" applyProtection="1">
      <alignment horizontal="center"/>
    </xf>
    <xf numFmtId="49" fontId="7" fillId="22" borderId="0" xfId="0" applyNumberFormat="1" applyFont="1" applyFill="1" applyBorder="1" applyAlignment="1" applyProtection="1">
      <alignment horizontal="center"/>
    </xf>
    <xf numFmtId="0" fontId="7" fillId="22" borderId="0" xfId="0" applyFont="1" applyFill="1" applyBorder="1" applyAlignment="1" applyProtection="1">
      <alignment horizontal="center"/>
    </xf>
    <xf numFmtId="0" fontId="7" fillId="21" borderId="49" xfId="0" applyFont="1" applyFill="1" applyBorder="1" applyProtection="1"/>
    <xf numFmtId="0" fontId="7" fillId="0" borderId="1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/>
    </xf>
    <xf numFmtId="0" fontId="7" fillId="22" borderId="14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right"/>
    </xf>
    <xf numFmtId="2" fontId="7" fillId="0" borderId="17" xfId="0" applyNumberFormat="1" applyFont="1" applyBorder="1" applyAlignment="1" applyProtection="1">
      <alignment horizontal="center"/>
    </xf>
    <xf numFmtId="1" fontId="7" fillId="12" borderId="0" xfId="0" applyNumberFormat="1" applyFont="1" applyFill="1" applyBorder="1" applyAlignment="1" applyProtection="1">
      <alignment horizontal="left"/>
    </xf>
    <xf numFmtId="0" fontId="7" fillId="0" borderId="55" xfId="0" applyFont="1" applyFill="1" applyBorder="1" applyAlignment="1" applyProtection="1">
      <alignment horizontal="center"/>
    </xf>
    <xf numFmtId="0" fontId="7" fillId="21" borderId="50" xfId="0" applyFont="1" applyFill="1" applyBorder="1" applyAlignment="1" applyProtection="1">
      <alignment horizontal="center"/>
    </xf>
    <xf numFmtId="0" fontId="0" fillId="0" borderId="17" xfId="0" applyFont="1" applyBorder="1" applyAlignment="1" applyProtection="1">
      <alignment horizontal="right"/>
    </xf>
    <xf numFmtId="1" fontId="7" fillId="0" borderId="17" xfId="0" applyNumberFormat="1" applyFont="1" applyBorder="1" applyAlignment="1" applyProtection="1">
      <alignment horizontal="center"/>
    </xf>
    <xf numFmtId="0" fontId="7" fillId="0" borderId="32" xfId="0" applyFont="1" applyFill="1" applyBorder="1" applyProtection="1"/>
    <xf numFmtId="0" fontId="7" fillId="0" borderId="29" xfId="0" applyFont="1" applyBorder="1" applyAlignment="1" applyProtection="1">
      <alignment horizontal="right"/>
    </xf>
    <xf numFmtId="0" fontId="7" fillId="6" borderId="30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horizontal="center" vertical="center"/>
    </xf>
    <xf numFmtId="0" fontId="7" fillId="23" borderId="11" xfId="0" applyFont="1" applyFill="1" applyBorder="1" applyAlignment="1" applyProtection="1">
      <alignment horizontal="center" vertical="center"/>
    </xf>
    <xf numFmtId="0" fontId="7" fillId="22" borderId="92" xfId="0" applyFont="1" applyFill="1" applyBorder="1" applyAlignment="1" applyProtection="1">
      <alignment horizontal="center" vertical="center"/>
    </xf>
    <xf numFmtId="0" fontId="7" fillId="12" borderId="1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7" fillId="15" borderId="32" xfId="0" applyFont="1" applyFill="1" applyBorder="1" applyAlignment="1" applyProtection="1">
      <alignment horizontal="center"/>
    </xf>
    <xf numFmtId="0" fontId="7" fillId="20" borderId="18" xfId="0" applyFont="1" applyFill="1" applyBorder="1" applyAlignment="1" applyProtection="1">
      <alignment horizontal="center"/>
    </xf>
    <xf numFmtId="0" fontId="7" fillId="0" borderId="93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/>
    </xf>
    <xf numFmtId="0" fontId="9" fillId="0" borderId="0" xfId="0" applyFont="1" applyBorder="1" applyProtection="1"/>
    <xf numFmtId="1" fontId="7" fillId="0" borderId="0" xfId="0" applyNumberFormat="1" applyFont="1" applyAlignment="1" applyProtection="1">
      <alignment horizontal="left"/>
    </xf>
    <xf numFmtId="0" fontId="9" fillId="0" borderId="30" xfId="0" applyFont="1" applyBorder="1" applyProtection="1"/>
    <xf numFmtId="164" fontId="9" fillId="6" borderId="30" xfId="0" applyNumberFormat="1" applyFont="1" applyFill="1" applyBorder="1" applyAlignment="1" applyProtection="1">
      <alignment horizontal="center" vertical="center"/>
    </xf>
    <xf numFmtId="164" fontId="9" fillId="3" borderId="30" xfId="0" applyNumberFormat="1" applyFont="1" applyFill="1" applyBorder="1" applyAlignment="1" applyProtection="1">
      <alignment horizontal="center" vertical="center"/>
    </xf>
    <xf numFmtId="164" fontId="9" fillId="3" borderId="11" xfId="0" applyNumberFormat="1" applyFont="1" applyFill="1" applyBorder="1" applyAlignment="1" applyProtection="1">
      <alignment horizontal="center" vertical="center"/>
    </xf>
    <xf numFmtId="0" fontId="7" fillId="0" borderId="93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7" borderId="35" xfId="0" applyFont="1" applyFill="1" applyBorder="1" applyAlignment="1" applyProtection="1">
      <alignment horizontal="center"/>
    </xf>
    <xf numFmtId="0" fontId="8" fillId="7" borderId="36" xfId="0" applyFont="1" applyFill="1" applyBorder="1" applyAlignment="1" applyProtection="1">
      <alignment horizontal="center"/>
    </xf>
    <xf numFmtId="0" fontId="8" fillId="7" borderId="37" xfId="0" applyFont="1" applyFill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Alignment="1" applyProtection="1">
      <alignment horizontal="center"/>
    </xf>
    <xf numFmtId="0" fontId="9" fillId="0" borderId="27" xfId="0" applyFont="1" applyFill="1" applyBorder="1" applyProtection="1"/>
    <xf numFmtId="164" fontId="9" fillId="18" borderId="27" xfId="0" applyNumberFormat="1" applyFont="1" applyFill="1" applyBorder="1" applyAlignment="1" applyProtection="1">
      <alignment horizontal="center" vertical="center"/>
    </xf>
    <xf numFmtId="164" fontId="9" fillId="19" borderId="14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center"/>
    </xf>
    <xf numFmtId="1" fontId="8" fillId="0" borderId="0" xfId="0" applyNumberFormat="1" applyFont="1" applyAlignment="1" applyProtection="1"/>
    <xf numFmtId="0" fontId="9" fillId="0" borderId="32" xfId="0" applyFont="1" applyFill="1" applyBorder="1" applyProtection="1"/>
    <xf numFmtId="164" fontId="7" fillId="7" borderId="20" xfId="0" applyNumberFormat="1" applyFont="1" applyFill="1" applyBorder="1" applyAlignment="1" applyProtection="1">
      <alignment horizontal="center"/>
    </xf>
    <xf numFmtId="164" fontId="7" fillId="23" borderId="18" xfId="0" applyNumberFormat="1" applyFont="1" applyFill="1" applyBorder="1" applyAlignment="1" applyProtection="1">
      <alignment horizontal="center"/>
    </xf>
    <xf numFmtId="164" fontId="7" fillId="22" borderId="94" xfId="0" applyNumberFormat="1" applyFont="1" applyFill="1" applyBorder="1" applyAlignment="1" applyProtection="1">
      <alignment horizontal="center" vertical="center"/>
    </xf>
    <xf numFmtId="164" fontId="7" fillId="12" borderId="19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Alignme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7" fillId="0" borderId="0" xfId="0" applyFont="1" applyAlignment="1" applyProtection="1">
      <alignment horizontal="left"/>
    </xf>
    <xf numFmtId="0" fontId="9" fillId="0" borderId="61" xfId="0" applyFont="1" applyBorder="1" applyProtection="1"/>
    <xf numFmtId="0" fontId="7" fillId="0" borderId="62" xfId="0" applyFont="1" applyBorder="1" applyProtection="1"/>
    <xf numFmtId="0" fontId="7" fillId="0" borderId="63" xfId="0" applyFont="1" applyFill="1" applyBorder="1" applyProtection="1"/>
    <xf numFmtId="0" fontId="7" fillId="4" borderId="11" xfId="0" applyFont="1" applyFill="1" applyBorder="1" applyProtection="1"/>
    <xf numFmtId="0" fontId="7" fillId="4" borderId="30" xfId="0" applyFont="1" applyFill="1" applyBorder="1" applyProtection="1"/>
    <xf numFmtId="0" fontId="7" fillId="0" borderId="101" xfId="0" applyFont="1" applyFill="1" applyBorder="1" applyAlignment="1" applyProtection="1">
      <alignment horizontal="left"/>
    </xf>
    <xf numFmtId="0" fontId="7" fillId="0" borderId="102" xfId="0" applyFont="1" applyFill="1" applyBorder="1" applyAlignment="1" applyProtection="1">
      <alignment horizontal="center"/>
    </xf>
    <xf numFmtId="0" fontId="7" fillId="0" borderId="103" xfId="0" applyFont="1" applyFill="1" applyBorder="1" applyProtection="1"/>
    <xf numFmtId="0" fontId="0" fillId="0" borderId="0" xfId="0" applyFont="1" applyProtection="1"/>
    <xf numFmtId="164" fontId="7" fillId="0" borderId="0" xfId="0" applyNumberFormat="1" applyFont="1" applyProtection="1"/>
    <xf numFmtId="0" fontId="7" fillId="0" borderId="40" xfId="0" applyFont="1" applyBorder="1" applyAlignment="1" applyProtection="1">
      <alignment horizontal="center"/>
    </xf>
    <xf numFmtId="0" fontId="7" fillId="0" borderId="64" xfId="0" applyFont="1" applyBorder="1" applyProtection="1"/>
    <xf numFmtId="0" fontId="7" fillId="4" borderId="14" xfId="0" quotePrefix="1" applyFont="1" applyFill="1" applyBorder="1" applyAlignment="1" applyProtection="1">
      <alignment horizontal="center"/>
    </xf>
    <xf numFmtId="0" fontId="7" fillId="4" borderId="15" xfId="0" quotePrefix="1" applyFont="1" applyFill="1" applyBorder="1" applyAlignment="1" applyProtection="1">
      <alignment horizontal="center"/>
    </xf>
    <xf numFmtId="0" fontId="7" fillId="4" borderId="18" xfId="0" quotePrefix="1" applyFont="1" applyFill="1" applyBorder="1" applyAlignment="1" applyProtection="1">
      <alignment horizontal="center"/>
    </xf>
    <xf numFmtId="0" fontId="7" fillId="4" borderId="19" xfId="0" applyFont="1" applyFill="1" applyBorder="1" applyProtection="1"/>
    <xf numFmtId="0" fontId="7" fillId="4" borderId="20" xfId="0" applyFont="1" applyFill="1" applyBorder="1" applyProtection="1"/>
    <xf numFmtId="0" fontId="0" fillId="0" borderId="0" xfId="0" applyFont="1" applyAlignment="1" applyProtection="1">
      <alignment horizontal="center"/>
    </xf>
    <xf numFmtId="0" fontId="7" fillId="0" borderId="66" xfId="0" applyFont="1" applyBorder="1" applyProtection="1"/>
    <xf numFmtId="0" fontId="0" fillId="2" borderId="4" xfId="0" applyFont="1" applyFill="1" applyBorder="1" applyAlignment="1" applyProtection="1">
      <alignment horizontal="right"/>
    </xf>
    <xf numFmtId="0" fontId="7" fillId="2" borderId="30" xfId="0" quotePrefix="1" applyFont="1" applyFill="1" applyBorder="1" applyAlignment="1" applyProtection="1">
      <alignment horizontal="center"/>
    </xf>
    <xf numFmtId="0" fontId="7" fillId="2" borderId="72" xfId="0" quotePrefix="1" applyFont="1" applyFill="1" applyBorder="1" applyAlignment="1" applyProtection="1">
      <alignment horizontal="center" vertical="center"/>
    </xf>
    <xf numFmtId="0" fontId="0" fillId="4" borderId="14" xfId="0" applyFont="1" applyFill="1" applyBorder="1" applyProtection="1"/>
    <xf numFmtId="0" fontId="7" fillId="4" borderId="15" xfId="0" applyFont="1" applyFill="1" applyBorder="1" applyProtection="1"/>
    <xf numFmtId="0" fontId="7" fillId="4" borderId="23" xfId="0" quotePrefix="1" applyFont="1" applyFill="1" applyBorder="1" applyAlignment="1" applyProtection="1">
      <alignment horizontal="center"/>
    </xf>
    <xf numFmtId="0" fontId="0" fillId="4" borderId="24" xfId="0" applyFont="1" applyFill="1" applyBorder="1" applyProtection="1"/>
    <xf numFmtId="0" fontId="7" fillId="4" borderId="25" xfId="0" applyFont="1" applyFill="1" applyBorder="1" applyProtection="1"/>
    <xf numFmtId="0" fontId="7" fillId="0" borderId="66" xfId="0" applyFont="1" applyBorder="1" applyAlignment="1" applyProtection="1">
      <alignment horizontal="center"/>
    </xf>
    <xf numFmtId="0" fontId="7" fillId="2" borderId="23" xfId="0" applyFont="1" applyFill="1" applyBorder="1" applyProtection="1"/>
    <xf numFmtId="0" fontId="0" fillId="2" borderId="73" xfId="0" quotePrefix="1" applyFont="1" applyFill="1" applyBorder="1" applyAlignment="1" applyProtection="1">
      <alignment horizontal="center"/>
    </xf>
    <xf numFmtId="0" fontId="7" fillId="2" borderId="74" xfId="0" applyFont="1" applyFill="1" applyBorder="1" applyAlignment="1" applyProtection="1">
      <alignment horizontal="center"/>
    </xf>
    <xf numFmtId="0" fontId="7" fillId="4" borderId="24" xfId="0" applyFont="1" applyFill="1" applyBorder="1" applyProtection="1"/>
    <xf numFmtId="0" fontId="0" fillId="0" borderId="0" xfId="0" quotePrefix="1" applyFont="1" applyAlignment="1" applyProtection="1">
      <alignment horizontal="left"/>
    </xf>
    <xf numFmtId="0" fontId="0" fillId="0" borderId="0" xfId="0" quotePrefix="1" applyFont="1" applyProtection="1"/>
    <xf numFmtId="0" fontId="9" fillId="0" borderId="66" xfId="0" applyFont="1" applyBorder="1" applyAlignment="1" applyProtection="1">
      <alignment horizontal="center"/>
    </xf>
    <xf numFmtId="0" fontId="7" fillId="2" borderId="75" xfId="0" applyFont="1" applyFill="1" applyBorder="1" applyAlignment="1" applyProtection="1">
      <alignment horizontal="center"/>
    </xf>
    <xf numFmtId="0" fontId="0" fillId="2" borderId="67" xfId="0" quotePrefix="1" applyFont="1" applyFill="1" applyBorder="1" applyAlignment="1" applyProtection="1">
      <alignment horizontal="center" vertical="center"/>
    </xf>
    <xf numFmtId="0" fontId="7" fillId="4" borderId="14" xfId="0" applyFont="1" applyFill="1" applyBorder="1" applyProtection="1"/>
    <xf numFmtId="0" fontId="7" fillId="2" borderId="67" xfId="0" applyFont="1" applyFill="1" applyBorder="1" applyAlignment="1" applyProtection="1">
      <alignment horizontal="center"/>
    </xf>
    <xf numFmtId="0" fontId="7" fillId="4" borderId="11" xfId="0" quotePrefix="1" applyFont="1" applyFill="1" applyBorder="1" applyAlignment="1" applyProtection="1">
      <alignment horizontal="center"/>
    </xf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textRotation="90" wrapText="1"/>
    </xf>
    <xf numFmtId="0" fontId="0" fillId="0" borderId="0" xfId="0" quotePrefix="1" applyFont="1" applyFill="1" applyBorder="1" applyAlignment="1" applyProtection="1">
      <alignment horizontal="left"/>
    </xf>
    <xf numFmtId="0" fontId="7" fillId="0" borderId="68" xfId="0" applyFont="1" applyBorder="1" applyProtection="1"/>
    <xf numFmtId="0" fontId="7" fillId="0" borderId="69" xfId="0" applyFont="1" applyBorder="1" applyProtection="1"/>
    <xf numFmtId="0" fontId="7" fillId="0" borderId="70" xfId="0" applyFont="1" applyFill="1" applyBorder="1" applyAlignment="1" applyProtection="1">
      <alignment horizontal="right"/>
    </xf>
    <xf numFmtId="0" fontId="9" fillId="0" borderId="69" xfId="0" applyFont="1" applyBorder="1" applyAlignment="1" applyProtection="1">
      <alignment horizontal="center"/>
    </xf>
    <xf numFmtId="0" fontId="7" fillId="0" borderId="71" xfId="0" applyFont="1" applyBorder="1" applyProtection="1"/>
    <xf numFmtId="0" fontId="7" fillId="4" borderId="51" xfId="0" quotePrefix="1" applyFont="1" applyFill="1" applyBorder="1" applyAlignment="1" applyProtection="1">
      <alignment horizontal="center"/>
    </xf>
    <xf numFmtId="0" fontId="7" fillId="4" borderId="76" xfId="0" applyFont="1" applyFill="1" applyBorder="1" applyProtection="1"/>
    <xf numFmtId="0" fontId="7" fillId="4" borderId="52" xfId="0" applyFont="1" applyFill="1" applyBorder="1" applyProtection="1"/>
    <xf numFmtId="0" fontId="7" fillId="0" borderId="0" xfId="0" quotePrefix="1" applyFont="1" applyFill="1" applyBorder="1" applyAlignment="1" applyProtection="1">
      <alignment horizontal="center"/>
    </xf>
    <xf numFmtId="0" fontId="13" fillId="6" borderId="0" xfId="0" applyFont="1" applyFill="1" applyProtection="1"/>
    <xf numFmtId="0" fontId="7" fillId="6" borderId="0" xfId="0" applyFont="1" applyFill="1" applyProtection="1"/>
    <xf numFmtId="0" fontId="7" fillId="4" borderId="56" xfId="0" applyFont="1" applyFill="1" applyBorder="1" applyProtection="1"/>
    <xf numFmtId="0" fontId="7" fillId="4" borderId="57" xfId="0" applyFont="1" applyFill="1" applyBorder="1" applyProtection="1"/>
    <xf numFmtId="0" fontId="7" fillId="0" borderId="1" xfId="0" applyFont="1" applyFill="1" applyBorder="1" applyProtection="1"/>
    <xf numFmtId="0" fontId="9" fillId="0" borderId="58" xfId="0" applyFont="1" applyFill="1" applyBorder="1" applyProtection="1"/>
    <xf numFmtId="0" fontId="2" fillId="0" borderId="39" xfId="0" applyFont="1" applyBorder="1" applyProtection="1"/>
    <xf numFmtId="0" fontId="9" fillId="0" borderId="57" xfId="0" applyFont="1" applyFill="1" applyBorder="1" applyProtection="1"/>
    <xf numFmtId="0" fontId="0" fillId="0" borderId="97" xfId="0" quotePrefix="1" applyFont="1" applyFill="1" applyBorder="1" applyAlignment="1" applyProtection="1">
      <alignment horizontal="left"/>
    </xf>
    <xf numFmtId="0" fontId="0" fillId="0" borderId="98" xfId="0" quotePrefix="1" applyFont="1" applyFill="1" applyBorder="1" applyAlignment="1" applyProtection="1">
      <alignment horizontal="left"/>
    </xf>
    <xf numFmtId="0" fontId="7" fillId="0" borderId="99" xfId="0" applyFont="1" applyFill="1" applyBorder="1" applyProtection="1"/>
    <xf numFmtId="49" fontId="7" fillId="0" borderId="0" xfId="0" quotePrefix="1" applyNumberFormat="1" applyFont="1" applyProtection="1"/>
    <xf numFmtId="0" fontId="2" fillId="0" borderId="0" xfId="0" quotePrefix="1" applyFont="1" applyBorder="1" applyProtection="1"/>
    <xf numFmtId="49" fontId="7" fillId="0" borderId="0" xfId="0" quotePrefix="1" applyNumberFormat="1" applyFont="1" applyFill="1" applyProtection="1"/>
    <xf numFmtId="0" fontId="7" fillId="6" borderId="0" xfId="0" applyFont="1" applyFill="1" applyBorder="1" applyProtection="1"/>
    <xf numFmtId="0" fontId="0" fillId="0" borderId="0" xfId="0" quotePrefix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49" fontId="7" fillId="0" borderId="0" xfId="0" quotePrefix="1" applyNumberFormat="1" applyFont="1" applyFill="1" applyBorder="1" applyAlignment="1" applyProtection="1">
      <alignment horizontal="left"/>
    </xf>
    <xf numFmtId="0" fontId="9" fillId="0" borderId="0" xfId="0" quotePrefix="1" applyFont="1" applyBorder="1" applyAlignment="1" applyProtection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5" borderId="23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49" fontId="0" fillId="3" borderId="82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2" fillId="7" borderId="54" xfId="0" quotePrefix="1" applyFont="1" applyFill="1" applyBorder="1" applyAlignment="1">
      <alignment horizontal="center" vertical="center" wrapText="1"/>
    </xf>
    <xf numFmtId="0" fontId="2" fillId="7" borderId="12" xfId="0" quotePrefix="1" applyFont="1" applyFill="1" applyBorder="1" applyAlignment="1">
      <alignment horizontal="center" vertical="center" wrapText="1"/>
    </xf>
    <xf numFmtId="0" fontId="2" fillId="7" borderId="38" xfId="0" quotePrefix="1" applyFont="1" applyFill="1" applyBorder="1" applyAlignment="1">
      <alignment horizontal="center" vertical="center" wrapText="1"/>
    </xf>
    <xf numFmtId="0" fontId="2" fillId="7" borderId="39" xfId="0" quotePrefix="1" applyFont="1" applyFill="1" applyBorder="1" applyAlignment="1">
      <alignment horizontal="center" vertical="center" wrapText="1"/>
    </xf>
    <xf numFmtId="0" fontId="2" fillId="7" borderId="40" xfId="0" quotePrefix="1" applyFont="1" applyFill="1" applyBorder="1" applyAlignment="1">
      <alignment horizontal="center" vertical="center" wrapText="1"/>
    </xf>
    <xf numFmtId="0" fontId="2" fillId="7" borderId="41" xfId="0" quotePrefix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27" xfId="0" applyFont="1" applyBorder="1" applyAlignment="1" applyProtection="1">
      <alignment horizontal="center" vertical="center" textRotation="90" wrapText="1"/>
    </xf>
    <xf numFmtId="0" fontId="7" fillId="0" borderId="91" xfId="0" applyFont="1" applyBorder="1" applyAlignment="1" applyProtection="1">
      <alignment horizontal="center" vertical="center" textRotation="90" wrapText="1"/>
    </xf>
    <xf numFmtId="0" fontId="7" fillId="2" borderId="23" xfId="0" applyFont="1" applyFill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center"/>
    </xf>
    <xf numFmtId="0" fontId="7" fillId="2" borderId="65" xfId="0" applyFont="1" applyFill="1" applyBorder="1" applyAlignment="1" applyProtection="1">
      <alignment horizontal="center"/>
    </xf>
    <xf numFmtId="0" fontId="7" fillId="0" borderId="100" xfId="0" applyFont="1" applyFill="1" applyBorder="1" applyAlignment="1" applyProtection="1">
      <alignment horizontal="center" vertical="center" textRotation="90" wrapText="1"/>
    </xf>
    <xf numFmtId="0" fontId="7" fillId="0" borderId="27" xfId="0" applyFont="1" applyFill="1" applyBorder="1" applyAlignment="1" applyProtection="1">
      <alignment horizontal="center" vertical="center" textRotation="90" wrapText="1"/>
    </xf>
    <xf numFmtId="0" fontId="7" fillId="0" borderId="32" xfId="0" applyFont="1" applyFill="1" applyBorder="1" applyAlignment="1" applyProtection="1">
      <alignment horizontal="center" vertical="center" textRotation="90" wrapText="1"/>
    </xf>
    <xf numFmtId="49" fontId="7" fillId="0" borderId="19" xfId="0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</xf>
    <xf numFmtId="0" fontId="9" fillId="7" borderId="54" xfId="0" quotePrefix="1" applyFont="1" applyFill="1" applyBorder="1" applyAlignment="1" applyProtection="1">
      <alignment horizontal="center" vertical="center" wrapText="1"/>
    </xf>
    <xf numFmtId="0" fontId="9" fillId="7" borderId="12" xfId="0" quotePrefix="1" applyFont="1" applyFill="1" applyBorder="1" applyAlignment="1" applyProtection="1">
      <alignment horizontal="center" vertical="center" wrapText="1"/>
    </xf>
    <xf numFmtId="0" fontId="9" fillId="7" borderId="38" xfId="0" quotePrefix="1" applyFont="1" applyFill="1" applyBorder="1" applyAlignment="1" applyProtection="1">
      <alignment horizontal="center" vertical="center" wrapText="1"/>
    </xf>
    <xf numFmtId="0" fontId="9" fillId="7" borderId="39" xfId="0" quotePrefix="1" applyFont="1" applyFill="1" applyBorder="1" applyAlignment="1" applyProtection="1">
      <alignment horizontal="center" vertical="center" wrapText="1"/>
    </xf>
    <xf numFmtId="0" fontId="9" fillId="7" borderId="40" xfId="0" quotePrefix="1" applyFont="1" applyFill="1" applyBorder="1" applyAlignment="1" applyProtection="1">
      <alignment horizontal="center" vertical="center" wrapText="1"/>
    </xf>
    <xf numFmtId="0" fontId="9" fillId="7" borderId="41" xfId="0" quotePrefix="1" applyFont="1" applyFill="1" applyBorder="1" applyAlignment="1" applyProtection="1">
      <alignment horizontal="center" vertical="center" wrapText="1"/>
    </xf>
    <xf numFmtId="164" fontId="9" fillId="0" borderId="18" xfId="0" quotePrefix="1" applyNumberFormat="1" applyFont="1" applyFill="1" applyBorder="1" applyAlignment="1" applyProtection="1">
      <alignment horizontal="center" vertical="center"/>
    </xf>
    <xf numFmtId="164" fontId="9" fillId="0" borderId="20" xfId="0" quotePrefix="1" applyNumberFormat="1" applyFont="1" applyFill="1" applyBorder="1" applyAlignment="1" applyProtection="1">
      <alignment horizontal="center" vertical="center"/>
    </xf>
    <xf numFmtId="164" fontId="9" fillId="0" borderId="19" xfId="0" quotePrefix="1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right" vertical="center" textRotation="90"/>
    </xf>
    <xf numFmtId="49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left" vertical="center"/>
    </xf>
    <xf numFmtId="2" fontId="7" fillId="3" borderId="21" xfId="0" applyNumberFormat="1" applyFont="1" applyFill="1" applyBorder="1" applyAlignment="1" applyProtection="1">
      <alignment horizontal="center" vertical="center"/>
    </xf>
    <xf numFmtId="2" fontId="7" fillId="3" borderId="26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49" fontId="8" fillId="0" borderId="16" xfId="0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8" fillId="0" borderId="17" xfId="0" applyFont="1" applyFill="1" applyBorder="1" applyProtection="1"/>
    <xf numFmtId="49" fontId="7" fillId="0" borderId="19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49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left" vertical="center"/>
      <protection hidden="1"/>
    </xf>
    <xf numFmtId="0" fontId="7" fillId="5" borderId="19" xfId="0" applyFont="1" applyFill="1" applyBorder="1" applyAlignment="1" applyProtection="1">
      <alignment horizontal="center"/>
      <protection hidden="1"/>
    </xf>
    <xf numFmtId="0" fontId="8" fillId="0" borderId="3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right" vertical="center" textRotation="90"/>
      <protection hidden="1"/>
    </xf>
    <xf numFmtId="0" fontId="7" fillId="0" borderId="11" xfId="0" applyFont="1" applyFill="1" applyBorder="1" applyAlignment="1" applyProtection="1">
      <alignment horizontal="left" vertical="center"/>
      <protection hidden="1"/>
    </xf>
    <xf numFmtId="0" fontId="7" fillId="0" borderId="18" xfId="0" applyFont="1" applyFill="1" applyBorder="1" applyAlignment="1" applyProtection="1">
      <alignment horizontal="left" vertical="center"/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2" fontId="7" fillId="3" borderId="17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left"/>
      <protection hidden="1"/>
    </xf>
    <xf numFmtId="0" fontId="8" fillId="0" borderId="17" xfId="0" applyFont="1" applyFill="1" applyBorder="1" applyProtection="1"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 vertical="center" textRotation="90" wrapText="1"/>
      <protection hidden="1"/>
    </xf>
    <xf numFmtId="0" fontId="7" fillId="0" borderId="27" xfId="0" applyFont="1" applyBorder="1" applyAlignment="1" applyProtection="1">
      <alignment horizontal="center" vertical="center" textRotation="90" wrapText="1"/>
      <protection hidden="1"/>
    </xf>
    <xf numFmtId="0" fontId="7" fillId="0" borderId="91" xfId="0" applyFont="1" applyBorder="1" applyAlignment="1" applyProtection="1">
      <alignment horizontal="center" vertical="center" textRotation="90" wrapText="1"/>
      <protection hidden="1"/>
    </xf>
    <xf numFmtId="0" fontId="7" fillId="0" borderId="100" xfId="0" applyFont="1" applyFill="1" applyBorder="1" applyAlignment="1" applyProtection="1">
      <alignment horizontal="center" vertical="center" textRotation="90" wrapText="1"/>
      <protection hidden="1"/>
    </xf>
    <xf numFmtId="0" fontId="7" fillId="0" borderId="27" xfId="0" applyFont="1" applyFill="1" applyBorder="1" applyAlignment="1" applyProtection="1">
      <alignment horizontal="center" vertical="center" textRotation="90" wrapText="1"/>
      <protection hidden="1"/>
    </xf>
    <xf numFmtId="0" fontId="7" fillId="0" borderId="32" xfId="0" applyFont="1" applyFill="1" applyBorder="1" applyAlignment="1" applyProtection="1">
      <alignment horizontal="center" vertical="center" textRotation="90" wrapText="1"/>
      <protection hidden="1"/>
    </xf>
    <xf numFmtId="164" fontId="9" fillId="0" borderId="18" xfId="0" quotePrefix="1" applyNumberFormat="1" applyFont="1" applyFill="1" applyBorder="1" applyAlignment="1" applyProtection="1">
      <alignment horizontal="center" vertical="center"/>
      <protection hidden="1"/>
    </xf>
    <xf numFmtId="164" fontId="9" fillId="0" borderId="20" xfId="0" quotePrefix="1" applyNumberFormat="1" applyFont="1" applyFill="1" applyBorder="1" applyAlignment="1" applyProtection="1">
      <alignment horizontal="center" vertical="center"/>
      <protection hidden="1"/>
    </xf>
    <xf numFmtId="164" fontId="9" fillId="0" borderId="19" xfId="0" quotePrefix="1" applyNumberFormat="1" applyFont="1" applyFill="1" applyBorder="1" applyAlignment="1" applyProtection="1">
      <alignment horizontal="center" vertical="center"/>
      <protection hidden="1"/>
    </xf>
    <xf numFmtId="0" fontId="9" fillId="7" borderId="54" xfId="0" quotePrefix="1" applyFont="1" applyFill="1" applyBorder="1" applyAlignment="1" applyProtection="1">
      <alignment horizontal="center" vertical="center" wrapText="1"/>
      <protection hidden="1"/>
    </xf>
    <xf numFmtId="0" fontId="9" fillId="7" borderId="12" xfId="0" quotePrefix="1" applyFont="1" applyFill="1" applyBorder="1" applyAlignment="1" applyProtection="1">
      <alignment horizontal="center" vertical="center" wrapText="1"/>
      <protection hidden="1"/>
    </xf>
    <xf numFmtId="0" fontId="9" fillId="7" borderId="38" xfId="0" quotePrefix="1" applyFont="1" applyFill="1" applyBorder="1" applyAlignment="1" applyProtection="1">
      <alignment horizontal="center" vertical="center" wrapText="1"/>
      <protection hidden="1"/>
    </xf>
    <xf numFmtId="0" fontId="9" fillId="7" borderId="39" xfId="0" quotePrefix="1" applyFont="1" applyFill="1" applyBorder="1" applyAlignment="1" applyProtection="1">
      <alignment horizontal="center" vertical="center" wrapText="1"/>
      <protection hidden="1"/>
    </xf>
    <xf numFmtId="0" fontId="9" fillId="7" borderId="40" xfId="0" quotePrefix="1" applyFont="1" applyFill="1" applyBorder="1" applyAlignment="1" applyProtection="1">
      <alignment horizontal="center" vertical="center" wrapText="1"/>
      <protection hidden="1"/>
    </xf>
    <xf numFmtId="0" fontId="9" fillId="7" borderId="41" xfId="0" quotePrefix="1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65" xfId="0" applyFont="1" applyFill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0D235"/>
      <color rgb="FF3FF161"/>
      <color rgb="FF33FD4B"/>
      <color rgb="FF59FD33"/>
      <color rgb="FFBAFD33"/>
      <color rgb="FFDEFC04"/>
      <color rgb="FFFB8005"/>
      <color rgb="FFFCA304"/>
      <color rgb="FFFCC104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766536</xdr:colOff>
      <xdr:row>2</xdr:row>
      <xdr:rowOff>31750</xdr:rowOff>
    </xdr:from>
    <xdr:to>
      <xdr:col>38</xdr:col>
      <xdr:colOff>699802</xdr:colOff>
      <xdr:row>12</xdr:row>
      <xdr:rowOff>150586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D71EABF-E37E-4B2E-AE5F-8C40498BE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98636" y="412750"/>
          <a:ext cx="2310706" cy="19476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766536</xdr:colOff>
      <xdr:row>2</xdr:row>
      <xdr:rowOff>31750</xdr:rowOff>
    </xdr:from>
    <xdr:to>
      <xdr:col>38</xdr:col>
      <xdr:colOff>699802</xdr:colOff>
      <xdr:row>12</xdr:row>
      <xdr:rowOff>150586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163CA8A-15B8-4ABD-B8DF-A2AF9F178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36661" y="444500"/>
          <a:ext cx="2266891" cy="202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5"/>
  <sheetViews>
    <sheetView tabSelected="1" zoomScale="80" zoomScaleNormal="80" workbookViewId="0">
      <selection activeCell="F47" sqref="F47"/>
    </sheetView>
  </sheetViews>
  <sheetFormatPr baseColWidth="10" defaultRowHeight="14.4" x14ac:dyDescent="0.3"/>
  <cols>
    <col min="3" max="3" width="25" bestFit="1" customWidth="1"/>
    <col min="4" max="4" width="18.44140625" customWidth="1"/>
    <col min="12" max="12" width="20.44140625" bestFit="1" customWidth="1"/>
    <col min="15" max="15" width="13.109375" bestFit="1" customWidth="1"/>
  </cols>
  <sheetData>
    <row r="1" spans="2:10" ht="14.4" customHeight="1" thickBot="1" x14ac:dyDescent="0.35"/>
    <row r="2" spans="2:10" ht="14.4" customHeight="1" thickTop="1" x14ac:dyDescent="0.3">
      <c r="B2" s="89"/>
      <c r="C2" s="90"/>
      <c r="D2" s="90"/>
      <c r="E2" s="35"/>
      <c r="F2" s="90"/>
      <c r="G2" s="90"/>
      <c r="H2" s="90"/>
      <c r="I2" s="90"/>
      <c r="J2" s="91"/>
    </row>
    <row r="3" spans="2:10" ht="14.4" customHeight="1" x14ac:dyDescent="0.3">
      <c r="B3" s="92"/>
      <c r="C3" s="93"/>
      <c r="D3" s="93"/>
      <c r="E3" s="36"/>
      <c r="F3" s="93"/>
      <c r="G3" s="93"/>
      <c r="H3" s="93"/>
      <c r="I3" s="93"/>
      <c r="J3" s="94"/>
    </row>
    <row r="4" spans="2:10" ht="14.4" customHeight="1" x14ac:dyDescent="0.3">
      <c r="B4" s="92"/>
      <c r="C4" s="286"/>
      <c r="D4" s="93"/>
      <c r="E4" s="36"/>
      <c r="F4" s="93"/>
      <c r="G4" s="93"/>
      <c r="H4" s="93"/>
      <c r="I4" s="93"/>
      <c r="J4" s="37">
        <f ca="1">TODAY()</f>
        <v>42906</v>
      </c>
    </row>
    <row r="5" spans="2:10" ht="14.4" customHeight="1" x14ac:dyDescent="0.3">
      <c r="B5" s="92"/>
      <c r="C5" s="93"/>
      <c r="D5" s="93"/>
      <c r="E5" s="36"/>
      <c r="F5" s="93"/>
      <c r="G5" s="93"/>
      <c r="H5" s="95"/>
      <c r="I5" s="93"/>
      <c r="J5" s="94"/>
    </row>
    <row r="6" spans="2:10" ht="14.4" customHeight="1" x14ac:dyDescent="0.3">
      <c r="B6" s="92"/>
      <c r="C6" s="96"/>
      <c r="D6" s="93"/>
      <c r="E6" s="38"/>
      <c r="F6" s="93"/>
      <c r="G6" s="93"/>
      <c r="H6" s="95"/>
      <c r="I6" s="93"/>
      <c r="J6" s="94"/>
    </row>
    <row r="7" spans="2:10" ht="14.4" customHeight="1" x14ac:dyDescent="0.3">
      <c r="B7" s="97" t="s">
        <v>251</v>
      </c>
      <c r="C7" s="119" t="s">
        <v>250</v>
      </c>
      <c r="D7" s="93"/>
      <c r="E7" s="36"/>
      <c r="F7" s="93"/>
      <c r="G7" s="93"/>
      <c r="H7" s="98"/>
      <c r="I7" s="93"/>
      <c r="J7" s="94"/>
    </row>
    <row r="8" spans="2:10" ht="14.4" customHeight="1" x14ac:dyDescent="0.3">
      <c r="B8" s="97" t="s">
        <v>252</v>
      </c>
      <c r="C8" s="119" t="s">
        <v>249</v>
      </c>
      <c r="D8" s="93"/>
      <c r="E8" s="36"/>
      <c r="F8" s="93"/>
      <c r="G8" s="93"/>
      <c r="H8" s="93"/>
      <c r="I8" s="93"/>
      <c r="J8" s="94"/>
    </row>
    <row r="9" spans="2:10" ht="14.4" customHeight="1" x14ac:dyDescent="0.3">
      <c r="B9" s="97" t="s">
        <v>253</v>
      </c>
      <c r="C9" s="120">
        <v>39083</v>
      </c>
      <c r="D9" s="95" t="s">
        <v>19</v>
      </c>
      <c r="E9" s="134">
        <f ca="1">(YEAR(NOW())-YEAR(C9))</f>
        <v>10</v>
      </c>
      <c r="F9" s="96"/>
      <c r="G9" s="93"/>
      <c r="H9" s="93"/>
      <c r="I9" s="93"/>
      <c r="J9" s="94"/>
    </row>
    <row r="10" spans="2:10" ht="14.4" customHeight="1" x14ac:dyDescent="0.3">
      <c r="B10" s="99" t="s">
        <v>20</v>
      </c>
      <c r="C10" s="121">
        <v>60</v>
      </c>
      <c r="D10" s="93"/>
      <c r="E10" s="36"/>
      <c r="F10" s="287" t="s">
        <v>254</v>
      </c>
      <c r="G10" s="93"/>
      <c r="H10" s="93"/>
      <c r="I10" s="93"/>
      <c r="J10" s="94"/>
    </row>
    <row r="11" spans="2:10" ht="14.4" customHeight="1" x14ac:dyDescent="0.3">
      <c r="B11" s="1043" t="s">
        <v>22</v>
      </c>
      <c r="C11" s="1029" t="s">
        <v>23</v>
      </c>
      <c r="D11" s="1044"/>
      <c r="E11" s="1044"/>
      <c r="F11" s="1029" t="s">
        <v>109</v>
      </c>
      <c r="G11" s="1029"/>
      <c r="H11" s="1029"/>
      <c r="I11" s="1029" t="s">
        <v>24</v>
      </c>
      <c r="J11" s="1030" t="s">
        <v>25</v>
      </c>
    </row>
    <row r="12" spans="2:10" ht="14.4" customHeight="1" x14ac:dyDescent="0.3">
      <c r="B12" s="1043"/>
      <c r="C12" s="1029"/>
      <c r="D12" s="1044"/>
      <c r="E12" s="1044"/>
      <c r="F12" s="39" t="s">
        <v>27</v>
      </c>
      <c r="G12" s="39" t="s">
        <v>28</v>
      </c>
      <c r="H12" s="39" t="s">
        <v>29</v>
      </c>
      <c r="I12" s="1029"/>
      <c r="J12" s="1030"/>
    </row>
    <row r="13" spans="2:10" ht="14.4" customHeight="1" x14ac:dyDescent="0.3">
      <c r="B13" s="1034">
        <v>4</v>
      </c>
      <c r="C13" s="1035" t="s">
        <v>31</v>
      </c>
      <c r="D13" s="5"/>
      <c r="E13" s="30" t="s">
        <v>32</v>
      </c>
      <c r="F13" s="122"/>
      <c r="G13" s="122"/>
      <c r="H13" s="248"/>
      <c r="I13" s="281" t="s">
        <v>248</v>
      </c>
      <c r="J13" s="1033"/>
    </row>
    <row r="14" spans="2:10" ht="14.4" customHeight="1" x14ac:dyDescent="0.3">
      <c r="B14" s="1034"/>
      <c r="C14" s="1035"/>
      <c r="D14" s="7"/>
      <c r="E14" s="30" t="s">
        <v>34</v>
      </c>
      <c r="F14" s="122"/>
      <c r="G14" s="122"/>
      <c r="H14" s="248"/>
      <c r="I14" s="281" t="s">
        <v>248</v>
      </c>
      <c r="J14" s="1033"/>
    </row>
    <row r="15" spans="2:10" ht="14.4" customHeight="1" x14ac:dyDescent="0.3">
      <c r="B15" s="1034" t="s">
        <v>36</v>
      </c>
      <c r="C15" s="1035" t="s">
        <v>37</v>
      </c>
      <c r="D15" s="7"/>
      <c r="E15" s="30" t="s">
        <v>32</v>
      </c>
      <c r="F15" s="122">
        <v>0.25</v>
      </c>
      <c r="G15" s="122"/>
      <c r="H15" s="248"/>
      <c r="I15" s="281" t="s">
        <v>248</v>
      </c>
      <c r="J15" s="1033"/>
    </row>
    <row r="16" spans="2:10" ht="14.4" customHeight="1" x14ac:dyDescent="0.3">
      <c r="B16" s="1034"/>
      <c r="C16" s="1035"/>
      <c r="D16" s="8"/>
      <c r="E16" s="30" t="s">
        <v>34</v>
      </c>
      <c r="F16" s="124">
        <v>0.25</v>
      </c>
      <c r="G16" s="122"/>
      <c r="H16" s="248"/>
      <c r="I16" s="281" t="s">
        <v>248</v>
      </c>
      <c r="J16" s="1033"/>
    </row>
    <row r="17" spans="2:10" ht="14.4" customHeight="1" x14ac:dyDescent="0.3">
      <c r="B17" s="40">
        <v>8</v>
      </c>
      <c r="C17" s="100" t="s">
        <v>43</v>
      </c>
      <c r="D17" s="30" t="s">
        <v>44</v>
      </c>
      <c r="E17" s="41"/>
      <c r="F17" s="247">
        <v>-20</v>
      </c>
      <c r="G17" s="133" t="s">
        <v>92</v>
      </c>
      <c r="H17" s="42"/>
      <c r="I17" s="42"/>
      <c r="J17" s="43"/>
    </row>
    <row r="18" spans="2:10" ht="14.4" customHeight="1" x14ac:dyDescent="0.3">
      <c r="B18" s="44"/>
      <c r="C18" s="101"/>
      <c r="D18" s="45"/>
      <c r="E18" s="46"/>
      <c r="F18" s="28"/>
      <c r="G18" s="47"/>
      <c r="H18" s="47"/>
      <c r="I18" s="48"/>
      <c r="J18" s="49"/>
    </row>
    <row r="19" spans="2:10" ht="14.4" customHeight="1" x14ac:dyDescent="0.3">
      <c r="B19" s="50"/>
      <c r="C19" s="102"/>
      <c r="D19" s="51"/>
      <c r="E19" s="52"/>
      <c r="F19" s="53" t="s">
        <v>74</v>
      </c>
      <c r="G19" s="54" t="s">
        <v>75</v>
      </c>
      <c r="H19" s="55" t="s">
        <v>73</v>
      </c>
      <c r="I19" s="56"/>
      <c r="J19" s="49"/>
    </row>
    <row r="20" spans="2:10" ht="14.4" customHeight="1" x14ac:dyDescent="0.3">
      <c r="B20" s="57" t="s">
        <v>82</v>
      </c>
      <c r="C20" s="100" t="s">
        <v>80</v>
      </c>
      <c r="D20" s="30" t="s">
        <v>45</v>
      </c>
      <c r="E20" s="7"/>
      <c r="F20" s="248">
        <v>8</v>
      </c>
      <c r="G20" s="249">
        <v>19</v>
      </c>
      <c r="H20" s="249"/>
      <c r="I20" s="48"/>
      <c r="J20" s="49"/>
    </row>
    <row r="21" spans="2:10" ht="14.4" customHeight="1" x14ac:dyDescent="0.3">
      <c r="B21" s="40">
        <v>11</v>
      </c>
      <c r="C21" s="100" t="s">
        <v>81</v>
      </c>
      <c r="D21" s="30" t="s">
        <v>46</v>
      </c>
      <c r="E21" s="8"/>
      <c r="F21" s="248"/>
      <c r="G21" s="249">
        <v>8</v>
      </c>
      <c r="H21" s="249">
        <v>3.5</v>
      </c>
      <c r="I21" s="58"/>
      <c r="J21" s="59"/>
    </row>
    <row r="22" spans="2:10" ht="14.4" customHeight="1" x14ac:dyDescent="0.3">
      <c r="B22" s="60"/>
      <c r="C22" s="103"/>
      <c r="D22" s="61"/>
      <c r="E22" s="62"/>
      <c r="F22" s="63"/>
      <c r="G22" s="240"/>
      <c r="H22" s="240"/>
      <c r="I22" s="240"/>
      <c r="J22" s="241"/>
    </row>
    <row r="23" spans="2:10" ht="14.4" customHeight="1" x14ac:dyDescent="0.3">
      <c r="B23" s="40" t="s">
        <v>47</v>
      </c>
      <c r="C23" s="100" t="s">
        <v>48</v>
      </c>
      <c r="D23" s="64" t="s">
        <v>44</v>
      </c>
      <c r="E23" s="24"/>
      <c r="F23" s="262">
        <v>-6</v>
      </c>
      <c r="G23" s="132" t="s">
        <v>92</v>
      </c>
      <c r="H23" s="48"/>
      <c r="I23" s="240"/>
      <c r="J23" s="241"/>
    </row>
    <row r="24" spans="2:10" ht="14.4" customHeight="1" x14ac:dyDescent="0.3">
      <c r="B24" s="1034" t="s">
        <v>49</v>
      </c>
      <c r="C24" s="1035" t="s">
        <v>50</v>
      </c>
      <c r="D24" s="5"/>
      <c r="E24" s="30" t="s">
        <v>32</v>
      </c>
      <c r="F24" s="250"/>
      <c r="G24" s="65"/>
      <c r="H24" s="48"/>
      <c r="I24" s="62"/>
      <c r="J24" s="241"/>
    </row>
    <row r="25" spans="2:10" ht="14.4" customHeight="1" x14ac:dyDescent="0.3">
      <c r="B25" s="1034"/>
      <c r="C25" s="1035"/>
      <c r="D25" s="7"/>
      <c r="E25" s="30" t="s">
        <v>34</v>
      </c>
      <c r="F25" s="122"/>
      <c r="G25" s="65"/>
      <c r="H25" s="48"/>
      <c r="I25" s="62"/>
      <c r="J25" s="241"/>
    </row>
    <row r="26" spans="2:10" ht="14.4" customHeight="1" x14ac:dyDescent="0.3">
      <c r="B26" s="238" t="s">
        <v>51</v>
      </c>
      <c r="C26" s="239" t="s">
        <v>52</v>
      </c>
      <c r="D26" s="7"/>
      <c r="E26" s="9" t="s">
        <v>32</v>
      </c>
      <c r="F26" s="124"/>
      <c r="G26" s="65"/>
      <c r="H26" s="48"/>
      <c r="I26" s="240"/>
      <c r="J26" s="66"/>
    </row>
    <row r="27" spans="2:10" ht="14.4" customHeight="1" x14ac:dyDescent="0.3">
      <c r="B27" s="19" t="s">
        <v>51</v>
      </c>
      <c r="C27" s="239" t="s">
        <v>52</v>
      </c>
      <c r="D27" s="24"/>
      <c r="E27" s="30" t="s">
        <v>34</v>
      </c>
      <c r="F27" s="124"/>
      <c r="G27" s="65"/>
      <c r="H27" s="48"/>
      <c r="I27" s="240"/>
      <c r="J27" s="66"/>
    </row>
    <row r="28" spans="2:10" ht="14.4" customHeight="1" x14ac:dyDescent="0.3">
      <c r="B28" s="25"/>
      <c r="C28" s="26"/>
      <c r="D28" s="31"/>
      <c r="E28" s="28"/>
      <c r="F28" s="29"/>
      <c r="G28" s="240"/>
      <c r="H28" s="48"/>
      <c r="I28" s="240"/>
      <c r="J28" s="66"/>
    </row>
    <row r="29" spans="2:10" ht="14.4" customHeight="1" x14ac:dyDescent="0.3">
      <c r="B29" s="60"/>
      <c r="C29" s="103"/>
      <c r="D29" s="67"/>
      <c r="E29" s="27"/>
      <c r="F29" s="68" t="s">
        <v>74</v>
      </c>
      <c r="G29" s="54" t="s">
        <v>75</v>
      </c>
      <c r="H29" s="55" t="s">
        <v>73</v>
      </c>
      <c r="I29" s="56"/>
      <c r="J29" s="241"/>
    </row>
    <row r="30" spans="2:10" ht="14.4" customHeight="1" x14ac:dyDescent="0.3">
      <c r="B30" s="40" t="s">
        <v>76</v>
      </c>
      <c r="C30" s="100" t="s">
        <v>77</v>
      </c>
      <c r="D30" s="30" t="s">
        <v>45</v>
      </c>
      <c r="E30" s="7"/>
      <c r="F30" s="248"/>
      <c r="G30" s="249">
        <v>15</v>
      </c>
      <c r="H30" s="251">
        <v>10</v>
      </c>
      <c r="I30" s="69"/>
      <c r="J30" s="49"/>
    </row>
    <row r="31" spans="2:10" ht="14.4" customHeight="1" x14ac:dyDescent="0.3">
      <c r="B31" s="40" t="s">
        <v>78</v>
      </c>
      <c r="C31" s="100" t="s">
        <v>79</v>
      </c>
      <c r="D31" s="30" t="s">
        <v>46</v>
      </c>
      <c r="E31" s="8"/>
      <c r="F31" s="248">
        <v>10</v>
      </c>
      <c r="G31" s="249">
        <v>16</v>
      </c>
      <c r="H31" s="251">
        <v>12</v>
      </c>
      <c r="I31" s="69"/>
      <c r="J31" s="49"/>
    </row>
    <row r="32" spans="2:10" ht="14.4" customHeight="1" x14ac:dyDescent="0.3">
      <c r="B32" s="44"/>
      <c r="C32" s="104"/>
      <c r="D32" s="70"/>
      <c r="E32" s="240"/>
      <c r="F32" s="28"/>
      <c r="G32" s="71"/>
      <c r="H32" s="240"/>
      <c r="I32" s="48"/>
      <c r="J32" s="49"/>
    </row>
    <row r="33" spans="2:10" ht="14.4" customHeight="1" x14ac:dyDescent="0.3">
      <c r="B33" s="60"/>
      <c r="C33" s="105"/>
      <c r="D33" s="72"/>
      <c r="E33" s="240"/>
      <c r="F33" s="63"/>
      <c r="G33" s="240"/>
      <c r="H33" s="240"/>
      <c r="I33" s="48"/>
      <c r="J33" s="49"/>
    </row>
    <row r="34" spans="2:10" ht="14.4" customHeight="1" x14ac:dyDescent="0.3">
      <c r="B34" s="32">
        <v>20</v>
      </c>
      <c r="C34" s="100" t="s">
        <v>129</v>
      </c>
      <c r="D34" s="30" t="s">
        <v>54</v>
      </c>
      <c r="E34" s="7"/>
      <c r="F34" s="122">
        <v>-1.5</v>
      </c>
      <c r="G34" s="46"/>
      <c r="H34" s="73"/>
      <c r="I34" s="48"/>
      <c r="J34" s="49"/>
    </row>
    <row r="35" spans="2:10" ht="14.4" customHeight="1" x14ac:dyDescent="0.3">
      <c r="B35" s="33"/>
      <c r="C35" s="100" t="s">
        <v>130</v>
      </c>
      <c r="D35" s="30" t="s">
        <v>54</v>
      </c>
      <c r="E35" s="242" t="s">
        <v>32</v>
      </c>
      <c r="F35" s="122"/>
      <c r="G35" s="46"/>
      <c r="H35" s="73"/>
      <c r="I35" s="48"/>
      <c r="J35" s="49"/>
    </row>
    <row r="36" spans="2:10" ht="14.4" customHeight="1" x14ac:dyDescent="0.3">
      <c r="B36" s="34"/>
      <c r="C36" s="100" t="s">
        <v>130</v>
      </c>
      <c r="D36" s="30" t="s">
        <v>54</v>
      </c>
      <c r="E36" s="242" t="s">
        <v>34</v>
      </c>
      <c r="F36" s="122"/>
      <c r="G36" s="46"/>
      <c r="H36" s="73"/>
      <c r="I36" s="48"/>
      <c r="J36" s="49"/>
    </row>
    <row r="37" spans="2:10" ht="14.4" customHeight="1" x14ac:dyDescent="0.3">
      <c r="B37" s="40">
        <v>21</v>
      </c>
      <c r="C37" s="100" t="s">
        <v>137</v>
      </c>
      <c r="D37" s="30" t="s">
        <v>55</v>
      </c>
      <c r="E37" s="8"/>
      <c r="F37" s="122">
        <v>1.75</v>
      </c>
      <c r="G37" s="46"/>
      <c r="H37" s="240"/>
      <c r="I37" s="48"/>
      <c r="J37" s="49"/>
    </row>
    <row r="38" spans="2:10" ht="14.4" customHeight="1" x14ac:dyDescent="0.3">
      <c r="B38" s="18"/>
      <c r="C38" s="100" t="s">
        <v>138</v>
      </c>
      <c r="D38" s="30" t="s">
        <v>55</v>
      </c>
      <c r="E38" s="74" t="s">
        <v>32</v>
      </c>
      <c r="F38" s="122"/>
      <c r="G38" s="46"/>
      <c r="H38" s="1031"/>
      <c r="I38" s="1031"/>
      <c r="J38" s="1032"/>
    </row>
    <row r="39" spans="2:10" ht="14.4" customHeight="1" x14ac:dyDescent="0.3">
      <c r="B39" s="18"/>
      <c r="C39" s="100" t="s">
        <v>139</v>
      </c>
      <c r="D39" s="30" t="s">
        <v>55</v>
      </c>
      <c r="E39" s="74" t="s">
        <v>34</v>
      </c>
      <c r="F39" s="122"/>
      <c r="G39" s="46"/>
      <c r="H39" s="240"/>
      <c r="I39" s="48"/>
      <c r="J39" s="49"/>
    </row>
    <row r="40" spans="2:10" ht="14.4" customHeight="1" x14ac:dyDescent="0.3">
      <c r="B40" s="106" t="s">
        <v>56</v>
      </c>
      <c r="C40" s="93"/>
      <c r="D40" s="36"/>
      <c r="E40" s="23"/>
      <c r="F40" s="36"/>
      <c r="G40" s="46"/>
      <c r="H40" s="48"/>
      <c r="I40" s="48"/>
      <c r="J40" s="49"/>
    </row>
    <row r="41" spans="2:10" ht="14.4" customHeight="1" x14ac:dyDescent="0.3">
      <c r="B41" s="107"/>
      <c r="C41" s="1024" t="s">
        <v>60</v>
      </c>
      <c r="D41" s="76"/>
      <c r="E41" s="77" t="s">
        <v>32</v>
      </c>
      <c r="F41" s="252">
        <v>1.75</v>
      </c>
      <c r="G41" s="240"/>
      <c r="H41" s="48"/>
      <c r="I41" s="48"/>
      <c r="J41" s="49"/>
    </row>
    <row r="42" spans="2:10" ht="14.4" customHeight="1" x14ac:dyDescent="0.3">
      <c r="B42" s="107"/>
      <c r="C42" s="1026"/>
      <c r="D42" s="78"/>
      <c r="E42" s="79" t="s">
        <v>34</v>
      </c>
      <c r="F42" s="253">
        <v>1.75</v>
      </c>
      <c r="G42" s="240"/>
      <c r="H42" s="48"/>
      <c r="I42" s="48"/>
      <c r="J42" s="49"/>
    </row>
    <row r="43" spans="2:10" ht="14.4" customHeight="1" x14ac:dyDescent="0.3">
      <c r="B43" s="107"/>
      <c r="C43" s="108" t="s">
        <v>62</v>
      </c>
      <c r="D43" s="135" t="s">
        <v>216</v>
      </c>
      <c r="E43" s="77" t="s">
        <v>53</v>
      </c>
      <c r="F43" s="254"/>
      <c r="G43" s="123" t="s">
        <v>255</v>
      </c>
      <c r="H43" s="109" t="s">
        <v>222</v>
      </c>
      <c r="I43" s="48"/>
      <c r="J43" s="49"/>
    </row>
    <row r="44" spans="2:10" ht="14.4" customHeight="1" x14ac:dyDescent="0.3">
      <c r="B44" s="107"/>
      <c r="C44" s="110" t="s">
        <v>202</v>
      </c>
      <c r="D44" s="80" t="str">
        <f ca="1">"± "&amp;'ACAT-16'!I40&amp;"dpt in "&amp;'ACAT-16'!J40&amp;"cm"</f>
        <v>± 2dpt in 40cm</v>
      </c>
      <c r="E44" s="117" t="s">
        <v>53</v>
      </c>
      <c r="F44" s="254">
        <v>3</v>
      </c>
      <c r="G44" s="243" t="s">
        <v>256</v>
      </c>
      <c r="H44" s="109" t="s">
        <v>223</v>
      </c>
      <c r="I44" s="48"/>
      <c r="J44" s="49"/>
    </row>
    <row r="45" spans="2:10" ht="14.4" customHeight="1" x14ac:dyDescent="0.3">
      <c r="B45" s="107"/>
      <c r="C45" s="111" t="s">
        <v>128</v>
      </c>
      <c r="D45" s="82" t="str">
        <f ca="1">IF(E9&lt;40,"± "&amp;'ACAT-16'!I41&amp;"dpt in "&amp;'ACAT-16'!J41&amp;"cm","-")</f>
        <v>± 2dpt in 40cm</v>
      </c>
      <c r="E45" s="118" t="s">
        <v>32</v>
      </c>
      <c r="F45" s="255">
        <v>4</v>
      </c>
      <c r="G45" s="260"/>
      <c r="H45" s="109"/>
      <c r="I45" s="48"/>
      <c r="J45" s="49"/>
    </row>
    <row r="46" spans="2:10" ht="14.4" customHeight="1" x14ac:dyDescent="0.3">
      <c r="B46" s="107"/>
      <c r="C46" s="112" t="s">
        <v>128</v>
      </c>
      <c r="D46" s="84" t="str">
        <f ca="1">IF(E9&lt;40,"± "&amp;'ACAT-16'!I41&amp;"dpt in "&amp;'ACAT-16'!J41&amp;"cm","-")</f>
        <v>± 2dpt in 40cm</v>
      </c>
      <c r="E46" s="86" t="s">
        <v>34</v>
      </c>
      <c r="F46" s="256">
        <v>4</v>
      </c>
      <c r="G46" s="261"/>
      <c r="H46" s="109"/>
      <c r="I46" s="1027" t="s">
        <v>153</v>
      </c>
      <c r="J46" s="1028"/>
    </row>
    <row r="47" spans="2:10" ht="14.4" customHeight="1" x14ac:dyDescent="0.3">
      <c r="B47" s="107"/>
      <c r="C47" s="113" t="s">
        <v>93</v>
      </c>
      <c r="D47" s="136" t="s">
        <v>58</v>
      </c>
      <c r="E47" s="79" t="s">
        <v>53</v>
      </c>
      <c r="F47" s="257">
        <v>7</v>
      </c>
      <c r="G47" s="48"/>
      <c r="H47" s="130" t="s">
        <v>213</v>
      </c>
      <c r="I47" s="75" t="s">
        <v>152</v>
      </c>
      <c r="J47" s="131" t="s">
        <v>17</v>
      </c>
    </row>
    <row r="48" spans="2:10" ht="14.4" customHeight="1" x14ac:dyDescent="0.3">
      <c r="B48" s="107"/>
      <c r="C48" s="1024" t="s">
        <v>59</v>
      </c>
      <c r="D48" s="81" t="s">
        <v>58</v>
      </c>
      <c r="E48" s="87" t="s">
        <v>53</v>
      </c>
      <c r="F48" s="258">
        <v>8</v>
      </c>
      <c r="G48" s="88"/>
      <c r="H48" s="125" t="str">
        <f>'ACAT-16'!G48&amp;" dpt"</f>
        <v>12,5 dpt</v>
      </c>
      <c r="I48" s="126" t="str">
        <f ca="1">15-(0.25*IF((E9&lt;54),E9,54))&amp;" dpt"</f>
        <v>12,5 dpt</v>
      </c>
      <c r="J48" s="127" t="str">
        <f ca="1">25-(0.4*IF((E9&lt;54),E9,54))&amp;" dpt"</f>
        <v>21 dpt</v>
      </c>
    </row>
    <row r="49" spans="2:10" ht="14.4" customHeight="1" x14ac:dyDescent="0.3">
      <c r="B49" s="107"/>
      <c r="C49" s="1025"/>
      <c r="D49" s="83" t="s">
        <v>58</v>
      </c>
      <c r="E49" s="23" t="s">
        <v>32</v>
      </c>
      <c r="F49" s="259">
        <v>8</v>
      </c>
      <c r="G49" s="88" t="str">
        <f>IF(O49&gt;O48,"Vergence Influence?","")</f>
        <v/>
      </c>
      <c r="H49" s="125" t="str">
        <f>'ACAT-16'!G49&amp;" dpt"</f>
        <v>12,5 dpt</v>
      </c>
      <c r="I49" s="126" t="str">
        <f t="shared" ref="I49:I50" si="0">15-(0.25*IF((E10&lt;54),E10,54))&amp;" dpt"</f>
        <v>15 dpt</v>
      </c>
      <c r="J49" s="127" t="str">
        <f t="shared" ref="J49:J50" si="1">25-(0.4*IF((E10&lt;54),E10,54))&amp;" dpt"</f>
        <v>25 dpt</v>
      </c>
    </row>
    <row r="50" spans="2:10" ht="14.4" customHeight="1" x14ac:dyDescent="0.3">
      <c r="B50" s="107"/>
      <c r="C50" s="1026"/>
      <c r="D50" s="85" t="s">
        <v>58</v>
      </c>
      <c r="E50" s="79" t="s">
        <v>34</v>
      </c>
      <c r="F50" s="257">
        <v>8</v>
      </c>
      <c r="G50" s="88" t="str">
        <f>IF(O50&gt;O48,"Vergence Influence?","")</f>
        <v/>
      </c>
      <c r="H50" s="125" t="str">
        <f>'ACAT-16'!G50&amp;" dpt"</f>
        <v>12,5 dpt</v>
      </c>
      <c r="I50" s="128" t="str">
        <f t="shared" si="0"/>
        <v>15 dpt</v>
      </c>
      <c r="J50" s="129" t="str">
        <f t="shared" si="1"/>
        <v>25 dpt</v>
      </c>
    </row>
    <row r="51" spans="2:10" ht="14.4" customHeight="1" x14ac:dyDescent="0.3">
      <c r="B51" s="92"/>
      <c r="C51" s="95"/>
      <c r="D51" s="36"/>
      <c r="E51" s="36"/>
      <c r="F51" s="93"/>
      <c r="G51" s="93"/>
      <c r="H51" s="93"/>
      <c r="I51" s="93"/>
      <c r="J51" s="94"/>
    </row>
    <row r="52" spans="2:10" ht="14.4" customHeight="1" thickBot="1" x14ac:dyDescent="0.35">
      <c r="B52" s="114"/>
      <c r="C52" s="115"/>
      <c r="D52" s="115"/>
      <c r="E52" s="115"/>
      <c r="F52" s="115"/>
      <c r="G52" s="115"/>
      <c r="H52" s="115"/>
      <c r="I52" s="115"/>
      <c r="J52" s="116"/>
    </row>
    <row r="53" spans="2:10" ht="14.4" customHeight="1" thickTop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3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3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3">
      <c r="B56" s="2"/>
      <c r="C56" s="1042" t="s">
        <v>65</v>
      </c>
      <c r="D56" s="1042"/>
      <c r="E56" s="3"/>
      <c r="F56" s="1042" t="s">
        <v>66</v>
      </c>
      <c r="G56" s="1042"/>
      <c r="H56" s="6"/>
      <c r="I56" s="2"/>
      <c r="J56" s="3"/>
    </row>
    <row r="57" spans="2:10" x14ac:dyDescent="0.3">
      <c r="B57" s="2"/>
      <c r="C57" s="10" t="s">
        <v>67</v>
      </c>
      <c r="D57" s="11">
        <f>'ACAT-16'!D53</f>
        <v>12.5</v>
      </c>
      <c r="E57" s="3"/>
      <c r="F57" s="10" t="s">
        <v>68</v>
      </c>
      <c r="G57" s="12">
        <f>'ACAT-16'!G53</f>
        <v>11.6</v>
      </c>
      <c r="H57" s="12" t="str">
        <f>'ACAT-16'!H53</f>
        <v>High</v>
      </c>
      <c r="I57" s="2"/>
      <c r="J57" s="3"/>
    </row>
    <row r="58" spans="2:10" x14ac:dyDescent="0.3">
      <c r="B58" s="2"/>
      <c r="C58" s="10" t="s">
        <v>217</v>
      </c>
      <c r="D58" s="12">
        <f ca="1">'ACAT-16'!M48</f>
        <v>15.5</v>
      </c>
      <c r="E58" s="3"/>
      <c r="F58" s="10" t="s">
        <v>71</v>
      </c>
      <c r="G58" s="12" t="str">
        <f>'ACAT-16'!G54</f>
        <v>EXO</v>
      </c>
      <c r="H58" s="17">
        <f>'ACAT-16'!H54</f>
        <v>0</v>
      </c>
      <c r="I58" s="2"/>
      <c r="J58" s="2"/>
    </row>
    <row r="59" spans="2:10" x14ac:dyDescent="0.3">
      <c r="B59" s="2"/>
      <c r="C59" s="15"/>
      <c r="D59" s="16"/>
      <c r="E59" s="3"/>
      <c r="F59" s="10" t="s">
        <v>72</v>
      </c>
      <c r="G59" s="12" t="str">
        <f>'ACAT-16'!G55</f>
        <v>Normal</v>
      </c>
      <c r="H59" s="17">
        <f>'ACAT-16'!H55</f>
        <v>3</v>
      </c>
      <c r="I59" s="2"/>
      <c r="J59" s="2"/>
    </row>
    <row r="60" spans="2:10" x14ac:dyDescent="0.3">
      <c r="B60" s="2"/>
      <c r="C60" s="4"/>
      <c r="D60" s="3"/>
      <c r="E60" s="3"/>
      <c r="F60" s="2"/>
      <c r="G60" s="2"/>
      <c r="H60" s="2"/>
      <c r="I60" s="2"/>
      <c r="J60" s="2"/>
    </row>
    <row r="61" spans="2:10" ht="15" thickBot="1" x14ac:dyDescent="0.35">
      <c r="B61" s="2"/>
      <c r="C61" s="4"/>
      <c r="D61" s="3"/>
      <c r="E61" s="3"/>
      <c r="F61" s="13"/>
      <c r="G61" s="14"/>
      <c r="H61" s="2"/>
      <c r="I61" s="2"/>
      <c r="J61" s="2"/>
    </row>
    <row r="62" spans="2:10" ht="15" thickTop="1" x14ac:dyDescent="0.3">
      <c r="B62" s="2"/>
      <c r="C62" s="20" t="s">
        <v>0</v>
      </c>
      <c r="D62" s="21"/>
      <c r="E62" s="21"/>
      <c r="F62" s="21"/>
      <c r="G62" s="22"/>
      <c r="I62" s="2"/>
      <c r="J62" s="2"/>
    </row>
    <row r="63" spans="2:10" x14ac:dyDescent="0.3">
      <c r="B63" s="2"/>
      <c r="C63" s="1036" t="str">
        <f ca="1">'ACAT-16'!C59</f>
        <v xml:space="preserve">DE </v>
      </c>
      <c r="D63" s="1037"/>
      <c r="E63" s="1037"/>
      <c r="F63" s="1037"/>
      <c r="G63" s="1038"/>
      <c r="I63" s="2"/>
      <c r="J63" s="2"/>
    </row>
    <row r="64" spans="2:10" ht="15" thickBot="1" x14ac:dyDescent="0.35">
      <c r="B64" s="2"/>
      <c r="C64" s="1039"/>
      <c r="D64" s="1040"/>
      <c r="E64" s="1040"/>
      <c r="F64" s="1040"/>
      <c r="G64" s="1041"/>
      <c r="I64" s="2"/>
      <c r="J64" s="2"/>
    </row>
    <row r="65" ht="15" thickTop="1" x14ac:dyDescent="0.3"/>
  </sheetData>
  <sheetProtection algorithmName="SHA-512" hashValue="NcCB5X61MTcVlynLnoT+xPdCMB58RoyQ57guIyeYWKKRMZFAFGFkyDWzvD+Sj/wy0Gtmkdf7xT7UZDNseqwjvw==" saltValue="R5hGofbMyoPCTvOWYSIF5g==" spinCount="100000" sheet="1" selectLockedCells="1"/>
  <mergeCells count="22">
    <mergeCell ref="C63:G64"/>
    <mergeCell ref="B15:B16"/>
    <mergeCell ref="C15:C16"/>
    <mergeCell ref="C56:D56"/>
    <mergeCell ref="F56:G56"/>
    <mergeCell ref="B11:B12"/>
    <mergeCell ref="C11:C12"/>
    <mergeCell ref="D11:D12"/>
    <mergeCell ref="E11:E12"/>
    <mergeCell ref="F11:H11"/>
    <mergeCell ref="B24:B25"/>
    <mergeCell ref="C24:C25"/>
    <mergeCell ref="B13:B14"/>
    <mergeCell ref="C13:C14"/>
    <mergeCell ref="J13:J14"/>
    <mergeCell ref="C48:C50"/>
    <mergeCell ref="C41:C42"/>
    <mergeCell ref="I46:J46"/>
    <mergeCell ref="I11:I12"/>
    <mergeCell ref="J11:J12"/>
    <mergeCell ref="H38:J38"/>
    <mergeCell ref="J15:J16"/>
  </mergeCells>
  <pageMargins left="0.7" right="0.7" top="0.78740157499999996" bottom="0.78740157499999996" header="0.3" footer="0.3"/>
  <pageSetup paperSize="9" scale="59" orientation="portrait" r:id="rId1"/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84"/>
  <sheetViews>
    <sheetView topLeftCell="A5" zoomScale="70" zoomScaleNormal="70" workbookViewId="0">
      <selection activeCell="R69" sqref="R69"/>
    </sheetView>
  </sheetViews>
  <sheetFormatPr baseColWidth="10" defaultRowHeight="14.4" x14ac:dyDescent="0.3"/>
  <cols>
    <col min="1" max="16384" width="11.5546875" style="717"/>
  </cols>
  <sheetData>
    <row r="1" spans="1:43" ht="15" thickBot="1" x14ac:dyDescent="0.35">
      <c r="A1" s="137"/>
      <c r="B1" s="137"/>
      <c r="C1" s="137"/>
      <c r="D1" s="137"/>
      <c r="E1" s="715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716"/>
      <c r="S1" s="137"/>
      <c r="T1" s="137"/>
      <c r="U1" s="137"/>
      <c r="V1" s="137"/>
      <c r="W1" s="137"/>
      <c r="X1" s="137"/>
      <c r="Y1" s="137"/>
      <c r="Z1" s="138"/>
      <c r="AA1" s="138"/>
      <c r="AB1" s="138"/>
      <c r="AC1" s="138"/>
      <c r="AD1" s="138"/>
      <c r="AE1" s="138"/>
      <c r="AF1" s="138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ht="15" thickTop="1" x14ac:dyDescent="0.3">
      <c r="A2" s="137"/>
      <c r="B2" s="718"/>
      <c r="C2" s="719"/>
      <c r="D2" s="719"/>
      <c r="E2" s="720"/>
      <c r="F2" s="719"/>
      <c r="G2" s="719"/>
      <c r="H2" s="719"/>
      <c r="I2" s="719"/>
      <c r="J2" s="719"/>
      <c r="K2" s="719"/>
      <c r="L2" s="719"/>
      <c r="M2" s="719"/>
      <c r="N2" s="721"/>
      <c r="O2" s="138"/>
      <c r="P2" s="137"/>
      <c r="Q2" s="137"/>
      <c r="R2" s="716"/>
      <c r="S2" s="137"/>
      <c r="T2" s="722" t="s">
        <v>0</v>
      </c>
      <c r="U2" s="137"/>
      <c r="V2" s="716"/>
      <c r="W2" s="137"/>
      <c r="X2" s="137"/>
      <c r="Y2" s="137"/>
      <c r="Z2" s="137"/>
      <c r="AA2" s="137"/>
      <c r="AB2" s="138"/>
      <c r="AC2" s="138"/>
      <c r="AD2" s="138"/>
      <c r="AE2" s="138"/>
      <c r="AF2" s="138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1:43" x14ac:dyDescent="0.3">
      <c r="A3" s="137"/>
      <c r="B3" s="723"/>
      <c r="C3" s="138"/>
      <c r="D3" s="138"/>
      <c r="E3" s="139"/>
      <c r="F3" s="138"/>
      <c r="G3" s="138"/>
      <c r="H3" s="138"/>
      <c r="I3" s="138"/>
      <c r="J3" s="138"/>
      <c r="K3" s="138"/>
      <c r="L3" s="138"/>
      <c r="M3" s="138"/>
      <c r="N3" s="724"/>
      <c r="O3" s="138"/>
      <c r="P3" s="137"/>
      <c r="Q3" s="137"/>
      <c r="R3" s="716"/>
      <c r="S3" s="137"/>
      <c r="T3" s="725" t="s">
        <v>1</v>
      </c>
      <c r="U3" s="726" t="s">
        <v>2</v>
      </c>
      <c r="V3" s="726" t="s">
        <v>3</v>
      </c>
      <c r="W3" s="726" t="s">
        <v>4</v>
      </c>
      <c r="X3" s="727" t="s">
        <v>5</v>
      </c>
      <c r="Y3" s="728" t="s">
        <v>6</v>
      </c>
      <c r="Z3" s="728" t="s">
        <v>7</v>
      </c>
      <c r="AA3" s="728" t="s">
        <v>8</v>
      </c>
      <c r="AB3" s="138"/>
      <c r="AC3" s="138"/>
      <c r="AD3" s="138"/>
      <c r="AE3" s="729">
        <f>'ACAT-16'!AE3</f>
        <v>0</v>
      </c>
      <c r="AF3" s="1077" t="str">
        <f>'ACAT-16'!AF3</f>
        <v>Binocular acc facility (S+W P. 21 Tab 1.6 P.88 Tab 4.3)</v>
      </c>
      <c r="AG3" s="1077">
        <f>'ACAT-16'!AG3</f>
        <v>0</v>
      </c>
      <c r="AH3" s="1077">
        <f>'ACAT-16'!AH3</f>
        <v>0</v>
      </c>
      <c r="AI3" s="1077">
        <f>'ACAT-16'!AI3</f>
        <v>0</v>
      </c>
      <c r="AJ3" s="137"/>
      <c r="AK3" s="137"/>
      <c r="AL3" s="137"/>
      <c r="AM3" s="137"/>
      <c r="AN3" s="137"/>
      <c r="AO3" s="137"/>
      <c r="AP3" s="137"/>
      <c r="AQ3" s="137"/>
    </row>
    <row r="4" spans="1:43" x14ac:dyDescent="0.3">
      <c r="A4" s="137"/>
      <c r="B4" s="723"/>
      <c r="C4" s="140" t="s">
        <v>197</v>
      </c>
      <c r="D4" s="138"/>
      <c r="E4" s="139"/>
      <c r="F4" s="138"/>
      <c r="G4" s="138"/>
      <c r="H4" s="138"/>
      <c r="I4" s="138"/>
      <c r="J4" s="141">
        <f ca="1">TODAY()</f>
        <v>42906</v>
      </c>
      <c r="K4" s="138"/>
      <c r="L4" s="138"/>
      <c r="M4" s="137"/>
      <c r="N4" s="724"/>
      <c r="O4" s="138"/>
      <c r="P4" s="137"/>
      <c r="Q4" s="137"/>
      <c r="R4" s="716"/>
      <c r="S4" s="137"/>
      <c r="T4" s="725" t="s">
        <v>9</v>
      </c>
      <c r="U4" s="725">
        <v>0</v>
      </c>
      <c r="V4" s="725">
        <v>1</v>
      </c>
      <c r="W4" s="725">
        <v>2</v>
      </c>
      <c r="X4" s="725">
        <v>3</v>
      </c>
      <c r="Y4" s="725">
        <v>4</v>
      </c>
      <c r="Z4" s="725">
        <v>4</v>
      </c>
      <c r="AA4" s="725">
        <v>4</v>
      </c>
      <c r="AB4" s="138"/>
      <c r="AC4" s="138"/>
      <c r="AD4" s="138"/>
      <c r="AE4" s="730" t="str">
        <f>'ACAT-16'!AE4</f>
        <v>Age</v>
      </c>
      <c r="AF4" s="730" t="str">
        <f>'ACAT-16'!AF4</f>
        <v>Exp. Find.[cpm]</v>
      </c>
      <c r="AG4" s="730" t="str">
        <f>'ACAT-16'!AG4</f>
        <v>SD</v>
      </c>
      <c r="AH4" s="730" t="str">
        <f>'ACAT-16'!AH4</f>
        <v>Flipper [+-]</v>
      </c>
      <c r="AI4" s="730" t="str">
        <f>'ACAT-16'!AI4</f>
        <v>Test dist. [cm]</v>
      </c>
      <c r="AJ4" s="137"/>
      <c r="AK4" s="137"/>
      <c r="AL4" s="137"/>
      <c r="AM4" s="137"/>
      <c r="AN4" s="137"/>
      <c r="AO4" s="137"/>
      <c r="AP4" s="137"/>
      <c r="AQ4" s="137"/>
    </row>
    <row r="5" spans="1:43" x14ac:dyDescent="0.3">
      <c r="A5" s="137"/>
      <c r="B5" s="723"/>
      <c r="C5" s="138"/>
      <c r="D5" s="138"/>
      <c r="E5" s="139"/>
      <c r="F5" s="138"/>
      <c r="G5" s="138"/>
      <c r="H5" s="142"/>
      <c r="I5" s="138"/>
      <c r="J5" s="138"/>
      <c r="K5" s="138"/>
      <c r="L5" s="138"/>
      <c r="M5" s="138"/>
      <c r="N5" s="724"/>
      <c r="O5" s="138"/>
      <c r="P5" s="137"/>
      <c r="Q5" s="137"/>
      <c r="R5" s="716"/>
      <c r="S5" s="137"/>
      <c r="T5" s="725" t="s">
        <v>10</v>
      </c>
      <c r="U5" s="725">
        <v>0</v>
      </c>
      <c r="V5" s="725">
        <v>1</v>
      </c>
      <c r="W5" s="725">
        <v>2</v>
      </c>
      <c r="X5" s="725">
        <v>3</v>
      </c>
      <c r="Y5" s="725">
        <v>2</v>
      </c>
      <c r="Z5" s="725">
        <v>1</v>
      </c>
      <c r="AA5" s="725">
        <v>0</v>
      </c>
      <c r="AB5" s="138"/>
      <c r="AC5" s="138"/>
      <c r="AD5" s="138"/>
      <c r="AE5" s="731">
        <f>'ACAT-16'!AE5</f>
        <v>6</v>
      </c>
      <c r="AF5" s="730">
        <f>'ACAT-16'!AF5</f>
        <v>3</v>
      </c>
      <c r="AG5" s="732">
        <f>'ACAT-16'!AG5</f>
        <v>2.5</v>
      </c>
      <c r="AH5" s="730">
        <f>'ACAT-16'!AH5</f>
        <v>2</v>
      </c>
      <c r="AI5" s="730">
        <f>'ACAT-16'!AI5</f>
        <v>40</v>
      </c>
      <c r="AJ5" s="137"/>
      <c r="AK5" s="137"/>
      <c r="AL5" s="137"/>
      <c r="AM5" s="137"/>
      <c r="AN5" s="137"/>
      <c r="AO5" s="137"/>
      <c r="AP5" s="137"/>
      <c r="AQ5" s="137"/>
    </row>
    <row r="6" spans="1:43" x14ac:dyDescent="0.3">
      <c r="A6" s="137"/>
      <c r="B6" s="723"/>
      <c r="C6" s="141"/>
      <c r="D6" s="138"/>
      <c r="E6" s="733"/>
      <c r="F6" s="137"/>
      <c r="G6" s="138"/>
      <c r="H6" s="142"/>
      <c r="I6" s="138"/>
      <c r="J6" s="138"/>
      <c r="K6" s="138"/>
      <c r="L6" s="138"/>
      <c r="M6" s="138"/>
      <c r="N6" s="724"/>
      <c r="O6" s="138"/>
      <c r="P6" s="137"/>
      <c r="Q6" s="137"/>
      <c r="R6" s="716"/>
      <c r="S6" s="137"/>
      <c r="T6" s="727" t="s">
        <v>11</v>
      </c>
      <c r="U6" s="725">
        <v>0</v>
      </c>
      <c r="V6" s="725">
        <v>1</v>
      </c>
      <c r="W6" s="725">
        <v>2</v>
      </c>
      <c r="X6" s="725">
        <v>3</v>
      </c>
      <c r="Y6" s="725">
        <v>4</v>
      </c>
      <c r="Z6" s="725">
        <v>5</v>
      </c>
      <c r="AA6" s="725">
        <v>6</v>
      </c>
      <c r="AB6" s="138"/>
      <c r="AC6" s="138"/>
      <c r="AD6" s="138"/>
      <c r="AE6" s="734">
        <f>'ACAT-16'!AE6</f>
        <v>7</v>
      </c>
      <c r="AF6" s="730">
        <f>'ACAT-16'!AF6</f>
        <v>3.5</v>
      </c>
      <c r="AG6" s="732">
        <f>'ACAT-16'!AG6</f>
        <v>2.5</v>
      </c>
      <c r="AH6" s="730">
        <f>'ACAT-16'!AH6</f>
        <v>2</v>
      </c>
      <c r="AI6" s="730">
        <f>'ACAT-16'!AI6</f>
        <v>40</v>
      </c>
      <c r="AJ6" s="137"/>
      <c r="AK6" s="137"/>
      <c r="AL6" s="137"/>
      <c r="AM6" s="137"/>
      <c r="AN6" s="137"/>
      <c r="AO6" s="137"/>
      <c r="AP6" s="137"/>
      <c r="AQ6" s="137"/>
    </row>
    <row r="7" spans="1:43" x14ac:dyDescent="0.3">
      <c r="A7" s="137"/>
      <c r="B7" s="735" t="s">
        <v>12</v>
      </c>
      <c r="C7" s="146" t="str">
        <f>'ACAT-16'!C7</f>
        <v>Case 9</v>
      </c>
      <c r="D7" s="138"/>
      <c r="E7" s="139"/>
      <c r="F7" s="137"/>
      <c r="G7" s="138"/>
      <c r="H7" s="143"/>
      <c r="I7" s="138"/>
      <c r="J7" s="138"/>
      <c r="K7" s="138"/>
      <c r="L7" s="138"/>
      <c r="M7" s="138"/>
      <c r="N7" s="724"/>
      <c r="O7" s="138"/>
      <c r="P7" s="137"/>
      <c r="Q7" s="137"/>
      <c r="R7" s="716"/>
      <c r="S7" s="137"/>
      <c r="T7" s="137"/>
      <c r="U7" s="1078" t="s">
        <v>13</v>
      </c>
      <c r="V7" s="1079"/>
      <c r="W7" s="1080"/>
      <c r="X7" s="736" t="s">
        <v>14</v>
      </c>
      <c r="Y7" s="737" t="s">
        <v>15</v>
      </c>
      <c r="Z7" s="738"/>
      <c r="AA7" s="739"/>
      <c r="AB7" s="138"/>
      <c r="AC7" s="138"/>
      <c r="AD7" s="138"/>
      <c r="AE7" s="740" t="str">
        <f>'ACAT-16'!AE7</f>
        <v>8-12</v>
      </c>
      <c r="AF7" s="730">
        <f>'ACAT-16'!AF7</f>
        <v>5</v>
      </c>
      <c r="AG7" s="730">
        <f>'ACAT-16'!AG7</f>
        <v>2.5</v>
      </c>
      <c r="AH7" s="730">
        <f>'ACAT-16'!AH7</f>
        <v>2</v>
      </c>
      <c r="AI7" s="730">
        <f>'ACAT-16'!AI7</f>
        <v>40</v>
      </c>
      <c r="AJ7" s="137"/>
      <c r="AK7" s="137"/>
      <c r="AL7" s="137"/>
      <c r="AM7" s="137"/>
      <c r="AN7" s="137"/>
      <c r="AO7" s="137"/>
      <c r="AP7" s="137"/>
      <c r="AQ7" s="137"/>
    </row>
    <row r="8" spans="1:43" x14ac:dyDescent="0.3">
      <c r="A8" s="137"/>
      <c r="B8" s="735" t="s">
        <v>16</v>
      </c>
      <c r="C8" s="146" t="str">
        <f>'ACAT-16'!C8</f>
        <v>BV-2</v>
      </c>
      <c r="D8" s="138"/>
      <c r="E8" s="139"/>
      <c r="F8" s="138"/>
      <c r="G8" s="138"/>
      <c r="H8" s="138"/>
      <c r="I8" s="138"/>
      <c r="J8" s="138"/>
      <c r="K8" s="138"/>
      <c r="L8" s="138"/>
      <c r="M8" s="138"/>
      <c r="N8" s="724"/>
      <c r="O8" s="138"/>
      <c r="P8" s="137"/>
      <c r="Q8" s="137"/>
      <c r="R8" s="716"/>
      <c r="S8" s="137"/>
      <c r="T8" s="137"/>
      <c r="U8" s="137"/>
      <c r="V8" s="137"/>
      <c r="W8" s="137"/>
      <c r="X8" s="137"/>
      <c r="Y8" s="137"/>
      <c r="Z8" s="138"/>
      <c r="AA8" s="138"/>
      <c r="AB8" s="138"/>
      <c r="AC8" s="138"/>
      <c r="AD8" s="138"/>
      <c r="AE8" s="740" t="str">
        <f>'ACAT-16'!AE8</f>
        <v>13-</v>
      </c>
      <c r="AF8" s="730">
        <f>'ACAT-16'!AF8</f>
        <v>10</v>
      </c>
      <c r="AG8" s="730">
        <f>'ACAT-16'!AG8</f>
        <v>5</v>
      </c>
      <c r="AH8" s="730">
        <f>'ACAT-16'!AH8</f>
        <v>2</v>
      </c>
      <c r="AI8" s="741">
        <f>'ACAT-16'!AI8</f>
        <v>18</v>
      </c>
      <c r="AJ8" s="137"/>
      <c r="AK8" s="137"/>
      <c r="AL8" s="137"/>
      <c r="AM8" s="137"/>
      <c r="AN8" s="137"/>
      <c r="AO8" s="137"/>
      <c r="AP8" s="137"/>
      <c r="AQ8" s="137"/>
    </row>
    <row r="9" spans="1:43" x14ac:dyDescent="0.3">
      <c r="A9" s="137"/>
      <c r="B9" s="735" t="s">
        <v>18</v>
      </c>
      <c r="C9" s="144">
        <f>'ACAT-16'!C9</f>
        <v>39083</v>
      </c>
      <c r="D9" s="142" t="s">
        <v>19</v>
      </c>
      <c r="E9" s="145">
        <f ca="1">(YEAR(NOW())-YEAR(C9))</f>
        <v>10</v>
      </c>
      <c r="F9" s="141"/>
      <c r="G9" s="138"/>
      <c r="H9" s="138"/>
      <c r="I9" s="138"/>
      <c r="J9" s="138"/>
      <c r="K9" s="138"/>
      <c r="L9" s="138"/>
      <c r="M9" s="138"/>
      <c r="N9" s="724"/>
      <c r="O9" s="138"/>
      <c r="P9" s="137"/>
      <c r="Q9" s="137"/>
      <c r="R9" s="716"/>
      <c r="S9" s="137"/>
      <c r="T9" s="742" t="s">
        <v>174</v>
      </c>
      <c r="U9" s="743"/>
      <c r="V9" s="744"/>
      <c r="W9" s="743"/>
      <c r="X9" s="743"/>
      <c r="Y9" s="743"/>
      <c r="Z9" s="743"/>
      <c r="AA9" s="745"/>
      <c r="AB9" s="138"/>
      <c r="AC9" s="138"/>
      <c r="AD9" s="138"/>
      <c r="AE9" s="746">
        <f>'ACAT-16'!AE9</f>
        <v>0</v>
      </c>
      <c r="AF9" s="1077" t="str">
        <f>'ACAT-16'!AF9</f>
        <v>Monocular acc facility</v>
      </c>
      <c r="AG9" s="1077">
        <f>'ACAT-16'!AG9</f>
        <v>0</v>
      </c>
      <c r="AH9" s="1077">
        <f>'ACAT-16'!AH9</f>
        <v>0</v>
      </c>
      <c r="AI9" s="1077">
        <f>'ACAT-16'!AI9</f>
        <v>0</v>
      </c>
      <c r="AJ9" s="137"/>
      <c r="AK9" s="137"/>
      <c r="AL9" s="137"/>
      <c r="AM9" s="137"/>
      <c r="AN9" s="137"/>
      <c r="AO9" s="137"/>
      <c r="AP9" s="137"/>
      <c r="AQ9" s="137"/>
    </row>
    <row r="10" spans="1:43" x14ac:dyDescent="0.3">
      <c r="A10" s="137"/>
      <c r="B10" s="747" t="s">
        <v>20</v>
      </c>
      <c r="C10" s="146">
        <f>'ACAT-16'!C10</f>
        <v>60</v>
      </c>
      <c r="D10" s="138"/>
      <c r="E10" s="139"/>
      <c r="F10" s="288" t="s">
        <v>173</v>
      </c>
      <c r="G10" s="138"/>
      <c r="H10" s="138"/>
      <c r="I10" s="138"/>
      <c r="J10" s="138"/>
      <c r="K10" s="138"/>
      <c r="L10" s="138"/>
      <c r="M10" s="138"/>
      <c r="N10" s="724"/>
      <c r="O10" s="138"/>
      <c r="P10" s="137"/>
      <c r="Q10" s="137"/>
      <c r="R10" s="716"/>
      <c r="S10" s="137"/>
      <c r="T10" s="748" t="s">
        <v>21</v>
      </c>
      <c r="U10" s="138"/>
      <c r="V10" s="749"/>
      <c r="W10" s="138"/>
      <c r="X10" s="138"/>
      <c r="Y10" s="138"/>
      <c r="Z10" s="138"/>
      <c r="AA10" s="750"/>
      <c r="AB10" s="138"/>
      <c r="AC10" s="138"/>
      <c r="AD10" s="138"/>
      <c r="AE10" s="734">
        <f>'ACAT-16'!AE10</f>
        <v>6</v>
      </c>
      <c r="AF10" s="730">
        <f>'ACAT-16'!AF10</f>
        <v>5.5</v>
      </c>
      <c r="AG10" s="730">
        <f>'ACAT-16'!AG10</f>
        <v>2.5</v>
      </c>
      <c r="AH10" s="730">
        <f>'ACAT-16'!AH10</f>
        <v>2</v>
      </c>
      <c r="AI10" s="730">
        <f>'ACAT-16'!AI10</f>
        <v>40</v>
      </c>
      <c r="AJ10" s="137"/>
      <c r="AK10" s="137"/>
      <c r="AL10" s="137"/>
      <c r="AM10" s="137"/>
      <c r="AN10" s="137"/>
      <c r="AO10" s="137"/>
      <c r="AP10" s="137"/>
      <c r="AQ10" s="137"/>
    </row>
    <row r="11" spans="1:43" x14ac:dyDescent="0.3">
      <c r="A11" s="137"/>
      <c r="B11" s="1081" t="s">
        <v>22</v>
      </c>
      <c r="C11" s="1055" t="s">
        <v>23</v>
      </c>
      <c r="D11" s="1082"/>
      <c r="E11" s="1082"/>
      <c r="F11" s="1055" t="s">
        <v>109</v>
      </c>
      <c r="G11" s="1055"/>
      <c r="H11" s="1055"/>
      <c r="I11" s="1083" t="s">
        <v>24</v>
      </c>
      <c r="J11" s="1083" t="s">
        <v>25</v>
      </c>
      <c r="K11" s="751"/>
      <c r="L11" s="138"/>
      <c r="M11" s="137"/>
      <c r="N11" s="724"/>
      <c r="O11" s="138"/>
      <c r="P11" s="137"/>
      <c r="Q11" s="137"/>
      <c r="R11" s="716"/>
      <c r="S11" s="137"/>
      <c r="T11" s="748" t="s">
        <v>26</v>
      </c>
      <c r="U11" s="138"/>
      <c r="V11" s="749"/>
      <c r="W11" s="138"/>
      <c r="X11" s="138"/>
      <c r="Y11" s="138"/>
      <c r="Z11" s="138"/>
      <c r="AA11" s="750"/>
      <c r="AB11" s="145"/>
      <c r="AC11" s="145"/>
      <c r="AD11" s="138"/>
      <c r="AE11" s="734">
        <f>'ACAT-16'!AE11</f>
        <v>7</v>
      </c>
      <c r="AF11" s="730">
        <f>'ACAT-16'!AF11</f>
        <v>6.5</v>
      </c>
      <c r="AG11" s="730">
        <f>'ACAT-16'!AG11</f>
        <v>2</v>
      </c>
      <c r="AH11" s="730">
        <f>'ACAT-16'!AH11</f>
        <v>2</v>
      </c>
      <c r="AI11" s="730">
        <f>'ACAT-16'!AI11</f>
        <v>40</v>
      </c>
      <c r="AJ11" s="137"/>
      <c r="AK11" s="137"/>
      <c r="AL11" s="137"/>
      <c r="AM11" s="137"/>
      <c r="AN11" s="137"/>
      <c r="AO11" s="137"/>
      <c r="AP11" s="137"/>
      <c r="AQ11" s="137"/>
    </row>
    <row r="12" spans="1:43" x14ac:dyDescent="0.3">
      <c r="A12" s="137"/>
      <c r="B12" s="1081"/>
      <c r="C12" s="1055"/>
      <c r="D12" s="1082"/>
      <c r="E12" s="1082"/>
      <c r="F12" s="147" t="s">
        <v>27</v>
      </c>
      <c r="G12" s="147" t="s">
        <v>28</v>
      </c>
      <c r="H12" s="147" t="s">
        <v>29</v>
      </c>
      <c r="I12" s="1083"/>
      <c r="J12" s="1083"/>
      <c r="K12" s="751"/>
      <c r="L12" s="752"/>
      <c r="M12" s="752"/>
      <c r="N12" s="753"/>
      <c r="O12" s="752"/>
      <c r="P12" s="137"/>
      <c r="Q12" s="137"/>
      <c r="R12" s="716"/>
      <c r="S12" s="137"/>
      <c r="T12" s="754" t="s">
        <v>30</v>
      </c>
      <c r="U12" s="755"/>
      <c r="V12" s="756"/>
      <c r="W12" s="755"/>
      <c r="X12" s="755"/>
      <c r="Y12" s="755"/>
      <c r="Z12" s="755"/>
      <c r="AA12" s="757"/>
      <c r="AB12" s="138"/>
      <c r="AC12" s="138"/>
      <c r="AD12" s="138"/>
      <c r="AE12" s="732" t="str">
        <f>'ACAT-16'!AE12</f>
        <v>8-12</v>
      </c>
      <c r="AF12" s="730">
        <f>'ACAT-16'!AF12</f>
        <v>7</v>
      </c>
      <c r="AG12" s="730">
        <f>'ACAT-16'!AG12</f>
        <v>2.5</v>
      </c>
      <c r="AH12" s="730">
        <f>'ACAT-16'!AH12</f>
        <v>2</v>
      </c>
      <c r="AI12" s="730">
        <f>'ACAT-16'!AI12</f>
        <v>40</v>
      </c>
      <c r="AJ12" s="137"/>
      <c r="AK12" s="137"/>
      <c r="AL12" s="137"/>
      <c r="AM12" s="137"/>
      <c r="AN12" s="137"/>
      <c r="AO12" s="137"/>
      <c r="AP12" s="137"/>
      <c r="AQ12" s="137"/>
    </row>
    <row r="13" spans="1:43" x14ac:dyDescent="0.3">
      <c r="A13" s="137"/>
      <c r="B13" s="1069">
        <v>4</v>
      </c>
      <c r="C13" s="1070" t="s">
        <v>31</v>
      </c>
      <c r="D13" s="148"/>
      <c r="E13" s="149" t="s">
        <v>32</v>
      </c>
      <c r="F13" s="150" t="str">
        <f>'ACAT-16'!F13</f>
        <v xml:space="preserve"> </v>
      </c>
      <c r="G13" s="150" t="str">
        <f>'ACAT-16'!G13</f>
        <v xml:space="preserve"> </v>
      </c>
      <c r="H13" s="150" t="str">
        <f>'ACAT-16'!H13</f>
        <v xml:space="preserve"> </v>
      </c>
      <c r="I13" s="150" t="str">
        <f>'ACAT-16'!I13</f>
        <v xml:space="preserve"> </v>
      </c>
      <c r="J13" s="1075">
        <f>'ACAT-16'!J13</f>
        <v>0</v>
      </c>
      <c r="K13" s="749"/>
      <c r="L13" s="752" t="s">
        <v>33</v>
      </c>
      <c r="M13" s="138"/>
      <c r="N13" s="724"/>
      <c r="O13" s="138"/>
      <c r="P13" s="137"/>
      <c r="Q13" s="137"/>
      <c r="R13" s="716"/>
      <c r="S13" s="137"/>
      <c r="T13" s="137"/>
      <c r="U13" s="137"/>
      <c r="V13" s="137"/>
      <c r="W13" s="137"/>
      <c r="X13" s="137"/>
      <c r="Y13" s="137"/>
      <c r="Z13" s="138"/>
      <c r="AA13" s="138"/>
      <c r="AB13" s="138"/>
      <c r="AC13" s="138"/>
      <c r="AD13" s="138"/>
      <c r="AE13" s="740" t="str">
        <f>'ACAT-16'!AE13</f>
        <v>13-30</v>
      </c>
      <c r="AF13" s="730">
        <f>'ACAT-16'!AF13</f>
        <v>11</v>
      </c>
      <c r="AG13" s="730">
        <f>'ACAT-16'!AG13</f>
        <v>5</v>
      </c>
      <c r="AH13" s="730">
        <f>'ACAT-16'!AH13</f>
        <v>2</v>
      </c>
      <c r="AI13" s="730">
        <f>'ACAT-16'!AI13</f>
        <v>40</v>
      </c>
      <c r="AJ13" s="137"/>
      <c r="AK13" s="137"/>
      <c r="AL13" s="137"/>
      <c r="AM13" s="137"/>
      <c r="AN13" s="137"/>
      <c r="AO13" s="137"/>
      <c r="AP13" s="137"/>
      <c r="AQ13" s="137"/>
    </row>
    <row r="14" spans="1:43" x14ac:dyDescent="0.3">
      <c r="A14" s="137"/>
      <c r="B14" s="1069"/>
      <c r="C14" s="1070"/>
      <c r="D14" s="152"/>
      <c r="E14" s="149" t="s">
        <v>34</v>
      </c>
      <c r="F14" s="150" t="str">
        <f>'ACAT-16'!F14</f>
        <v xml:space="preserve"> </v>
      </c>
      <c r="G14" s="150" t="str">
        <f>'ACAT-16'!G14</f>
        <v xml:space="preserve"> </v>
      </c>
      <c r="H14" s="150" t="str">
        <f>'ACAT-16'!H14</f>
        <v xml:space="preserve"> </v>
      </c>
      <c r="I14" s="150">
        <f>'ACAT-16'!I14</f>
        <v>0</v>
      </c>
      <c r="J14" s="1076">
        <f>'ACAT-16'!J14</f>
        <v>0</v>
      </c>
      <c r="K14" s="749"/>
      <c r="L14" s="752" t="s">
        <v>35</v>
      </c>
      <c r="M14" s="138"/>
      <c r="N14" s="724"/>
      <c r="O14" s="138"/>
      <c r="P14" s="137"/>
      <c r="Q14" s="137"/>
      <c r="R14" s="716"/>
      <c r="S14" s="137"/>
      <c r="T14" s="137"/>
      <c r="U14" s="137"/>
      <c r="V14" s="137" t="s">
        <v>150</v>
      </c>
      <c r="W14" s="137"/>
      <c r="X14" s="137" t="s">
        <v>149</v>
      </c>
      <c r="Y14" s="137"/>
      <c r="Z14" s="138"/>
      <c r="AA14" s="138"/>
      <c r="AB14" s="138"/>
      <c r="AC14" s="138"/>
      <c r="AD14" s="138"/>
      <c r="AE14" s="758" t="str">
        <f>'ACAT-16'!AE14</f>
        <v>Result:</v>
      </c>
      <c r="AF14" s="759" t="str">
        <f>'ACAT-16'!AF14</f>
        <v>Exp. Finding</v>
      </c>
      <c r="AG14" s="759" t="str">
        <f>'ACAT-16'!AG14</f>
        <v>SD</v>
      </c>
      <c r="AH14" s="759" t="str">
        <f>'ACAT-16'!AH14</f>
        <v>Flipper [+-]</v>
      </c>
      <c r="AI14" s="760" t="str">
        <f>'ACAT-16'!AI14</f>
        <v>Test dist. [cm]</v>
      </c>
      <c r="AJ14" s="137"/>
      <c r="AK14" s="137"/>
      <c r="AL14" s="137"/>
      <c r="AM14" s="137"/>
      <c r="AN14" s="137"/>
      <c r="AO14" s="137"/>
      <c r="AP14" s="137"/>
      <c r="AQ14" s="137"/>
    </row>
    <row r="15" spans="1:43" x14ac:dyDescent="0.3">
      <c r="A15" s="137"/>
      <c r="B15" s="1069" t="s">
        <v>36</v>
      </c>
      <c r="C15" s="1070" t="s">
        <v>37</v>
      </c>
      <c r="D15" s="152"/>
      <c r="E15" s="149" t="s">
        <v>32</v>
      </c>
      <c r="F15" s="150">
        <f>'ACAT-16'!F15</f>
        <v>0.25</v>
      </c>
      <c r="G15" s="150" t="str">
        <f>'ACAT-16'!G15</f>
        <v xml:space="preserve"> </v>
      </c>
      <c r="H15" s="150" t="str">
        <f>'ACAT-16'!H15</f>
        <v xml:space="preserve"> </v>
      </c>
      <c r="I15" s="150" t="str">
        <f>'ACAT-16'!I15</f>
        <v xml:space="preserve"> </v>
      </c>
      <c r="J15" s="1075">
        <f>'ACAT-16'!J15</f>
        <v>0</v>
      </c>
      <c r="K15" s="749"/>
      <c r="L15" s="138"/>
      <c r="M15" s="138"/>
      <c r="N15" s="724"/>
      <c r="O15" s="138"/>
      <c r="P15" s="761"/>
      <c r="Q15" s="137"/>
      <c r="R15" s="716"/>
      <c r="S15" s="137"/>
      <c r="T15" s="1066" t="s">
        <v>154</v>
      </c>
      <c r="U15" s="1066"/>
      <c r="V15" s="1066"/>
      <c r="W15" s="1066"/>
      <c r="X15" s="1067"/>
      <c r="Y15" s="762"/>
      <c r="Z15" s="763"/>
      <c r="AA15" s="763"/>
      <c r="AB15" s="764"/>
      <c r="AC15" s="765"/>
      <c r="AD15" s="138"/>
      <c r="AE15" s="758" t="str">
        <f>'ACAT-16'!AE15</f>
        <v>Binocular</v>
      </c>
      <c r="AF15" s="759">
        <f ca="1">'ACAT-16'!AF15</f>
        <v>5</v>
      </c>
      <c r="AG15" s="759">
        <f ca="1">'ACAT-16'!AG15</f>
        <v>2.5</v>
      </c>
      <c r="AH15" s="759">
        <f ca="1">'ACAT-16'!AH15</f>
        <v>2</v>
      </c>
      <c r="AI15" s="760">
        <f ca="1">'ACAT-16'!AI15</f>
        <v>40</v>
      </c>
      <c r="AJ15" s="137"/>
      <c r="AK15" s="137"/>
      <c r="AL15" s="137"/>
      <c r="AM15" s="137"/>
      <c r="AN15" s="137"/>
      <c r="AO15" s="137"/>
      <c r="AP15" s="137"/>
      <c r="AQ15" s="137"/>
    </row>
    <row r="16" spans="1:43" ht="15" thickBot="1" x14ac:dyDescent="0.35">
      <c r="A16" s="137"/>
      <c r="B16" s="1069"/>
      <c r="C16" s="1070"/>
      <c r="D16" s="153"/>
      <c r="E16" s="149" t="s">
        <v>34</v>
      </c>
      <c r="F16" s="150">
        <f>'ACAT-16'!F16</f>
        <v>0.25</v>
      </c>
      <c r="G16" s="150" t="str">
        <f>'ACAT-16'!G16</f>
        <v xml:space="preserve"> </v>
      </c>
      <c r="H16" s="150" t="str">
        <f>'ACAT-16'!H16</f>
        <v xml:space="preserve"> </v>
      </c>
      <c r="I16" s="150" t="str">
        <f>'ACAT-16'!I16</f>
        <v xml:space="preserve"> </v>
      </c>
      <c r="J16" s="1076">
        <f>'ACAT-16'!J16</f>
        <v>0</v>
      </c>
      <c r="K16" s="749"/>
      <c r="L16" s="138"/>
      <c r="M16" s="766" t="s">
        <v>244</v>
      </c>
      <c r="N16" s="767" t="s">
        <v>38</v>
      </c>
      <c r="O16" s="768" t="s">
        <v>39</v>
      </c>
      <c r="P16" s="137" t="s">
        <v>40</v>
      </c>
      <c r="Q16" s="769" t="s">
        <v>41</v>
      </c>
      <c r="R16" s="145"/>
      <c r="S16" s="139"/>
      <c r="T16" s="770" t="s">
        <v>42</v>
      </c>
      <c r="U16" s="771" t="s">
        <v>94</v>
      </c>
      <c r="V16" s="772" t="s">
        <v>95</v>
      </c>
      <c r="W16" s="773" t="s">
        <v>96</v>
      </c>
      <c r="X16" s="774" t="s">
        <v>97</v>
      </c>
      <c r="Y16" s="775" t="s">
        <v>192</v>
      </c>
      <c r="Z16" s="776" t="s">
        <v>193</v>
      </c>
      <c r="AA16" s="777" t="s">
        <v>224</v>
      </c>
      <c r="AB16" s="778" t="s">
        <v>233</v>
      </c>
      <c r="AC16" s="779"/>
      <c r="AD16" s="138"/>
      <c r="AE16" s="780" t="str">
        <f>'ACAT-16'!AE16</f>
        <v>Monocular</v>
      </c>
      <c r="AF16" s="781">
        <f ca="1">'ACAT-16'!AF16</f>
        <v>7</v>
      </c>
      <c r="AG16" s="781">
        <f ca="1">'ACAT-16'!AG16</f>
        <v>2.5</v>
      </c>
      <c r="AH16" s="781">
        <f ca="1">'ACAT-16'!AH16</f>
        <v>2</v>
      </c>
      <c r="AI16" s="782">
        <f ca="1">'ACAT-16'!AI16</f>
        <v>40</v>
      </c>
      <c r="AJ16" s="137"/>
      <c r="AK16" s="137"/>
      <c r="AL16" s="137"/>
      <c r="AM16" s="137"/>
      <c r="AN16" s="137"/>
      <c r="AO16" s="137"/>
      <c r="AP16" s="137"/>
      <c r="AQ16" s="137"/>
    </row>
    <row r="17" spans="1:43" ht="15" thickTop="1" x14ac:dyDescent="0.3">
      <c r="A17" s="137"/>
      <c r="B17" s="783">
        <v>8</v>
      </c>
      <c r="C17" s="154" t="s">
        <v>43</v>
      </c>
      <c r="D17" s="149" t="s">
        <v>44</v>
      </c>
      <c r="E17" s="155"/>
      <c r="F17" s="233">
        <f>'ACAT-16'!F17</f>
        <v>-20</v>
      </c>
      <c r="G17" s="156" t="s">
        <v>92</v>
      </c>
      <c r="H17" s="156"/>
      <c r="I17" s="157"/>
      <c r="J17" s="157"/>
      <c r="K17" s="158"/>
      <c r="L17" s="716" t="s">
        <v>210</v>
      </c>
      <c r="M17" s="139">
        <v>-0.5</v>
      </c>
      <c r="N17" s="767">
        <v>1.7</v>
      </c>
      <c r="O17" s="768">
        <v>3</v>
      </c>
      <c r="P17" s="784">
        <f>'ACAT-16'!P17</f>
        <v>-11.470588235294118</v>
      </c>
      <c r="Q17" s="785">
        <f>'ACAT-16'!Q17</f>
        <v>0</v>
      </c>
      <c r="R17" s="786" t="s">
        <v>210</v>
      </c>
      <c r="S17" s="1068" t="s">
        <v>121</v>
      </c>
      <c r="T17" s="787"/>
      <c r="U17" s="159"/>
      <c r="V17" s="788"/>
      <c r="W17" s="159"/>
      <c r="X17" s="789"/>
      <c r="Y17" s="790"/>
      <c r="Z17" s="791"/>
      <c r="AA17" s="792"/>
      <c r="AB17" s="145"/>
      <c r="AC17" s="793"/>
      <c r="AD17" s="138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</row>
    <row r="18" spans="1:43" x14ac:dyDescent="0.3">
      <c r="A18" s="137"/>
      <c r="B18" s="794"/>
      <c r="C18" s="160"/>
      <c r="D18" s="161"/>
      <c r="E18" s="162"/>
      <c r="F18" s="163"/>
      <c r="G18" s="164"/>
      <c r="H18" s="164"/>
      <c r="I18" s="158"/>
      <c r="J18" s="158"/>
      <c r="K18" s="158"/>
      <c r="L18" s="795" t="s">
        <v>83</v>
      </c>
      <c r="M18" s="139">
        <v>8</v>
      </c>
      <c r="N18" s="767">
        <v>3</v>
      </c>
      <c r="O18" s="768">
        <v>1</v>
      </c>
      <c r="P18" s="784">
        <f>'ACAT-16'!P18</f>
        <v>0</v>
      </c>
      <c r="Q18" s="796">
        <f>'ACAT-16'!Q18</f>
        <v>3</v>
      </c>
      <c r="R18" s="795" t="s">
        <v>83</v>
      </c>
      <c r="S18" s="1068"/>
      <c r="T18" s="797" t="s">
        <v>88</v>
      </c>
      <c r="U18" s="798">
        <f>'ACAT-16'!U18</f>
        <v>30</v>
      </c>
      <c r="V18" s="788"/>
      <c r="W18" s="159"/>
      <c r="X18" s="789"/>
      <c r="Y18" s="790"/>
      <c r="Z18" s="791"/>
      <c r="AA18" s="799"/>
      <c r="AB18" s="145"/>
      <c r="AC18" s="793"/>
      <c r="AD18" s="138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</row>
    <row r="19" spans="1:43" x14ac:dyDescent="0.3">
      <c r="A19" s="137"/>
      <c r="B19" s="800"/>
      <c r="C19" s="165"/>
      <c r="D19" s="166"/>
      <c r="E19" s="167"/>
      <c r="F19" s="168" t="s">
        <v>74</v>
      </c>
      <c r="G19" s="169" t="s">
        <v>75</v>
      </c>
      <c r="H19" s="170" t="s">
        <v>73</v>
      </c>
      <c r="I19" s="171"/>
      <c r="J19" s="158"/>
      <c r="K19" s="172"/>
      <c r="L19" s="795" t="s">
        <v>84</v>
      </c>
      <c r="M19" s="139">
        <v>19</v>
      </c>
      <c r="N19" s="767">
        <v>4.5999999999999996</v>
      </c>
      <c r="O19" s="768">
        <v>1</v>
      </c>
      <c r="P19" s="784">
        <f>'ACAT-16'!P19</f>
        <v>0</v>
      </c>
      <c r="Q19" s="796">
        <f>'ACAT-16'!Q19</f>
        <v>3</v>
      </c>
      <c r="R19" s="795" t="s">
        <v>84</v>
      </c>
      <c r="S19" s="1068"/>
      <c r="T19" s="797" t="s">
        <v>88</v>
      </c>
      <c r="U19" s="798">
        <f>'ACAT-16'!U19</f>
        <v>30</v>
      </c>
      <c r="V19" s="159"/>
      <c r="W19" s="159"/>
      <c r="X19" s="801"/>
      <c r="Y19" s="159"/>
      <c r="Z19" s="791"/>
      <c r="AA19" s="802"/>
      <c r="AB19" s="145"/>
      <c r="AC19" s="793"/>
      <c r="AD19" s="143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</row>
    <row r="20" spans="1:43" x14ac:dyDescent="0.3">
      <c r="A20" s="137"/>
      <c r="B20" s="803" t="s">
        <v>82</v>
      </c>
      <c r="C20" s="154" t="s">
        <v>80</v>
      </c>
      <c r="D20" s="149" t="s">
        <v>45</v>
      </c>
      <c r="E20" s="173"/>
      <c r="F20" s="151">
        <f>'ACAT-16'!F20</f>
        <v>8</v>
      </c>
      <c r="G20" s="151">
        <f>'ACAT-16'!G20</f>
        <v>19</v>
      </c>
      <c r="H20" s="151" t="str">
        <f>'ACAT-16'!H20</f>
        <v xml:space="preserve"> </v>
      </c>
      <c r="I20" s="158"/>
      <c r="J20" s="158"/>
      <c r="K20" s="804"/>
      <c r="L20" s="805" t="s">
        <v>89</v>
      </c>
      <c r="M20" s="145">
        <v>9</v>
      </c>
      <c r="N20" s="806">
        <v>3</v>
      </c>
      <c r="O20" s="807">
        <v>1</v>
      </c>
      <c r="P20" s="784">
        <f>'ACAT-16'!P20</f>
        <v>-3</v>
      </c>
      <c r="Q20" s="796">
        <f>'ACAT-16'!Q20</f>
        <v>-10</v>
      </c>
      <c r="R20" s="805" t="s">
        <v>89</v>
      </c>
      <c r="S20" s="1068"/>
      <c r="T20" s="137" t="s">
        <v>88</v>
      </c>
      <c r="U20" s="798" t="str">
        <f>'ACAT-16'!U20</f>
        <v/>
      </c>
      <c r="V20" s="159"/>
      <c r="W20" s="159"/>
      <c r="X20" s="801"/>
      <c r="Y20" s="159"/>
      <c r="Z20" s="791"/>
      <c r="AA20" s="808"/>
      <c r="AB20" s="145"/>
      <c r="AC20" s="793"/>
      <c r="AD20" s="138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</row>
    <row r="21" spans="1:43" x14ac:dyDescent="0.3">
      <c r="A21" s="137"/>
      <c r="B21" s="783">
        <v>11</v>
      </c>
      <c r="C21" s="154" t="s">
        <v>81</v>
      </c>
      <c r="D21" s="149" t="s">
        <v>46</v>
      </c>
      <c r="E21" s="174"/>
      <c r="F21" s="151" t="str">
        <f>'ACAT-16'!F21</f>
        <v xml:space="preserve"> </v>
      </c>
      <c r="G21" s="151">
        <f>'ACAT-16'!G21</f>
        <v>8</v>
      </c>
      <c r="H21" s="151">
        <f>'ACAT-16'!H21</f>
        <v>3.5</v>
      </c>
      <c r="I21" s="175"/>
      <c r="J21" s="175"/>
      <c r="K21" s="809"/>
      <c r="L21" s="795" t="s">
        <v>85</v>
      </c>
      <c r="M21" s="139">
        <v>8</v>
      </c>
      <c r="N21" s="767">
        <v>2.2000000000000002</v>
      </c>
      <c r="O21" s="768">
        <v>1</v>
      </c>
      <c r="P21" s="784">
        <f>'ACAT-16'!P21</f>
        <v>0</v>
      </c>
      <c r="Q21" s="796">
        <f>'ACAT-16'!Q21</f>
        <v>3</v>
      </c>
      <c r="R21" s="795" t="s">
        <v>85</v>
      </c>
      <c r="S21" s="1068"/>
      <c r="T21" s="797" t="s">
        <v>100</v>
      </c>
      <c r="U21" s="159"/>
      <c r="V21" s="788"/>
      <c r="W21" s="810">
        <f>'ACAT-16'!W21</f>
        <v>30</v>
      </c>
      <c r="X21" s="811"/>
      <c r="Y21" s="159"/>
      <c r="Z21" s="791"/>
      <c r="AA21" s="812"/>
      <c r="AB21" s="145"/>
      <c r="AC21" s="793"/>
      <c r="AD21" s="138"/>
      <c r="AE21" s="137"/>
      <c r="AF21" s="137"/>
      <c r="AG21" s="137"/>
      <c r="AH21" s="137"/>
      <c r="AI21" s="137"/>
      <c r="AJ21" s="813"/>
      <c r="AK21" s="749"/>
      <c r="AL21" s="749"/>
      <c r="AM21" s="749"/>
      <c r="AN21" s="749"/>
      <c r="AO21" s="137"/>
      <c r="AP21" s="137"/>
      <c r="AQ21" s="137"/>
    </row>
    <row r="22" spans="1:43" x14ac:dyDescent="0.3">
      <c r="A22" s="137"/>
      <c r="B22" s="814"/>
      <c r="C22" s="176"/>
      <c r="D22" s="177"/>
      <c r="E22" s="178"/>
      <c r="F22" s="179"/>
      <c r="G22" s="172"/>
      <c r="H22" s="172"/>
      <c r="I22" s="172"/>
      <c r="J22" s="172"/>
      <c r="K22" s="804"/>
      <c r="L22" s="795" t="s">
        <v>86</v>
      </c>
      <c r="M22" s="139">
        <v>3.5</v>
      </c>
      <c r="N22" s="767">
        <v>1.8</v>
      </c>
      <c r="O22" s="768">
        <v>1</v>
      </c>
      <c r="P22" s="784">
        <f>'ACAT-16'!P22</f>
        <v>0</v>
      </c>
      <c r="Q22" s="796">
        <f>'ACAT-16'!Q22</f>
        <v>3</v>
      </c>
      <c r="R22" s="795" t="s">
        <v>86</v>
      </c>
      <c r="S22" s="1068"/>
      <c r="T22" s="797" t="s">
        <v>100</v>
      </c>
      <c r="U22" s="787"/>
      <c r="V22" s="788"/>
      <c r="W22" s="810">
        <f>'ACAT-16'!W22</f>
        <v>30</v>
      </c>
      <c r="X22" s="811"/>
      <c r="Y22" s="159"/>
      <c r="Z22" s="791"/>
      <c r="AA22" s="812"/>
      <c r="AB22" s="145"/>
      <c r="AC22" s="793"/>
      <c r="AD22" s="138"/>
      <c r="AE22" s="137"/>
      <c r="AF22" s="137"/>
      <c r="AG22" s="137"/>
      <c r="AH22" s="137"/>
      <c r="AI22" s="137"/>
      <c r="AJ22" s="815"/>
      <c r="AK22" s="749"/>
      <c r="AL22" s="749"/>
      <c r="AM22" s="749"/>
      <c r="AN22" s="749"/>
      <c r="AO22" s="137"/>
      <c r="AP22" s="137"/>
      <c r="AQ22" s="137"/>
    </row>
    <row r="23" spans="1:43" ht="15" thickBot="1" x14ac:dyDescent="0.35">
      <c r="A23" s="137"/>
      <c r="B23" s="783" t="s">
        <v>47</v>
      </c>
      <c r="C23" s="154" t="s">
        <v>48</v>
      </c>
      <c r="D23" s="180" t="s">
        <v>44</v>
      </c>
      <c r="E23" s="181"/>
      <c r="F23" s="233">
        <f>'ACAT-16'!F23</f>
        <v>-6</v>
      </c>
      <c r="G23" s="182" t="s">
        <v>92</v>
      </c>
      <c r="H23" s="183"/>
      <c r="I23" s="172"/>
      <c r="J23" s="172"/>
      <c r="K23" s="172"/>
      <c r="L23" s="716" t="s">
        <v>211</v>
      </c>
      <c r="M23" s="139">
        <v>-4</v>
      </c>
      <c r="N23" s="767">
        <v>3.5</v>
      </c>
      <c r="O23" s="768">
        <v>3</v>
      </c>
      <c r="P23" s="784">
        <f>'ACAT-16'!P23</f>
        <v>-0.5714285714285714</v>
      </c>
      <c r="Q23" s="785">
        <f>'ACAT-16'!Q23</f>
        <v>3</v>
      </c>
      <c r="R23" s="786" t="s">
        <v>211</v>
      </c>
      <c r="S23" s="1068" t="s">
        <v>122</v>
      </c>
      <c r="T23" s="816"/>
      <c r="U23" s="816"/>
      <c r="V23" s="817"/>
      <c r="W23" s="184"/>
      <c r="X23" s="818"/>
      <c r="Y23" s="159"/>
      <c r="Z23" s="791"/>
      <c r="AA23" s="812"/>
      <c r="AB23" s="779"/>
      <c r="AC23" s="793"/>
      <c r="AD23" s="138"/>
      <c r="AE23" s="137"/>
      <c r="AF23" s="137"/>
      <c r="AG23" s="137"/>
      <c r="AH23" s="137"/>
      <c r="AI23" s="137"/>
      <c r="AJ23" s="813"/>
      <c r="AK23" s="813"/>
      <c r="AL23" s="813"/>
      <c r="AM23" s="749"/>
      <c r="AN23" s="749"/>
      <c r="AO23" s="137"/>
      <c r="AP23" s="137"/>
      <c r="AQ23" s="137"/>
    </row>
    <row r="24" spans="1:43" ht="15" thickTop="1" x14ac:dyDescent="0.3">
      <c r="A24" s="137"/>
      <c r="B24" s="1069" t="s">
        <v>49</v>
      </c>
      <c r="C24" s="1070" t="s">
        <v>50</v>
      </c>
      <c r="D24" s="148"/>
      <c r="E24" s="149" t="s">
        <v>32</v>
      </c>
      <c r="F24" s="246" t="str">
        <f>'ACAT-16'!F24</f>
        <v xml:space="preserve"> </v>
      </c>
      <c r="G24" s="182"/>
      <c r="H24" s="183"/>
      <c r="I24" s="178"/>
      <c r="J24" s="172"/>
      <c r="K24" s="819">
        <f>'ACAT-16'!K24</f>
        <v>-0.25</v>
      </c>
      <c r="L24" s="820" t="s">
        <v>50</v>
      </c>
      <c r="M24" s="139">
        <v>1.25</v>
      </c>
      <c r="N24" s="767">
        <v>0.375</v>
      </c>
      <c r="O24" s="768">
        <v>2</v>
      </c>
      <c r="P24" s="821">
        <f>'ACAT-16'!P24</f>
        <v>-4</v>
      </c>
      <c r="Q24" s="796">
        <f>'ACAT-16'!Q24</f>
        <v>-10</v>
      </c>
      <c r="R24" s="820" t="s">
        <v>50</v>
      </c>
      <c r="S24" s="1068"/>
      <c r="T24" s="797"/>
      <c r="U24" s="787"/>
      <c r="V24" s="822"/>
      <c r="W24" s="159"/>
      <c r="X24" s="811"/>
      <c r="Y24" s="823" t="str">
        <f>'ACAT-16'!Y24</f>
        <v/>
      </c>
      <c r="Z24" s="824" t="str">
        <f>'ACAT-16'!Z24</f>
        <v/>
      </c>
      <c r="AA24" s="812" t="str">
        <f>IF(Q24&lt;0," ",Q24*10)</f>
        <v xml:space="preserve"> </v>
      </c>
      <c r="AB24" s="145"/>
      <c r="AC24" s="825" t="s">
        <v>50</v>
      </c>
      <c r="AD24" s="138"/>
      <c r="AE24" s="826" t="s">
        <v>212</v>
      </c>
      <c r="AF24" s="827"/>
      <c r="AG24" s="827"/>
      <c r="AH24" s="827"/>
      <c r="AI24" s="827"/>
      <c r="AJ24" s="827"/>
      <c r="AK24" s="827"/>
      <c r="AL24" s="827"/>
      <c r="AM24" s="827"/>
      <c r="AN24" s="827"/>
      <c r="AO24" s="827"/>
      <c r="AP24" s="828"/>
      <c r="AQ24" s="137"/>
    </row>
    <row r="25" spans="1:43" x14ac:dyDescent="0.3">
      <c r="A25" s="137"/>
      <c r="B25" s="1069"/>
      <c r="C25" s="1070"/>
      <c r="D25" s="152"/>
      <c r="E25" s="149" t="s">
        <v>34</v>
      </c>
      <c r="F25" s="150" t="str">
        <f>'ACAT-16'!F25</f>
        <v xml:space="preserve"> </v>
      </c>
      <c r="G25" s="182"/>
      <c r="H25" s="183"/>
      <c r="I25" s="178"/>
      <c r="J25" s="172"/>
      <c r="K25" s="819">
        <f>'ACAT-16'!K25</f>
        <v>-0.25</v>
      </c>
      <c r="L25" s="820" t="s">
        <v>50</v>
      </c>
      <c r="M25" s="139">
        <v>1.25</v>
      </c>
      <c r="N25" s="767">
        <v>0.375</v>
      </c>
      <c r="O25" s="768">
        <v>2</v>
      </c>
      <c r="P25" s="821">
        <f>'ACAT-16'!P25</f>
        <v>-4</v>
      </c>
      <c r="Q25" s="796">
        <f>'ACAT-16'!Q25</f>
        <v>-10</v>
      </c>
      <c r="R25" s="820" t="s">
        <v>50</v>
      </c>
      <c r="S25" s="1068"/>
      <c r="T25" s="797"/>
      <c r="U25" s="787"/>
      <c r="V25" s="822"/>
      <c r="W25" s="159"/>
      <c r="X25" s="811"/>
      <c r="Y25" s="823" t="str">
        <f>'ACAT-16'!Y25</f>
        <v/>
      </c>
      <c r="Z25" s="824" t="str">
        <f>'ACAT-16'!Z25</f>
        <v/>
      </c>
      <c r="AA25" s="812" t="str">
        <f>IF(Q25&lt;0," ",Q25*10)</f>
        <v xml:space="preserve"> </v>
      </c>
      <c r="AB25" s="145"/>
      <c r="AC25" s="825" t="s">
        <v>50</v>
      </c>
      <c r="AD25" s="138"/>
      <c r="AE25" s="829"/>
      <c r="AF25" s="830"/>
      <c r="AG25" s="830"/>
      <c r="AH25" s="830"/>
      <c r="AI25" s="830"/>
      <c r="AJ25" s="830"/>
      <c r="AK25" s="830"/>
      <c r="AL25" s="830"/>
      <c r="AM25" s="831"/>
      <c r="AN25" s="832"/>
      <c r="AO25" s="832"/>
      <c r="AP25" s="724"/>
      <c r="AQ25" s="137"/>
    </row>
    <row r="26" spans="1:43" x14ac:dyDescent="0.3">
      <c r="A26" s="137"/>
      <c r="B26" s="833" t="s">
        <v>51</v>
      </c>
      <c r="C26" s="284" t="s">
        <v>52</v>
      </c>
      <c r="D26" s="152"/>
      <c r="E26" s="185" t="s">
        <v>32</v>
      </c>
      <c r="F26" s="150" t="str">
        <f>'ACAT-16'!F26</f>
        <v xml:space="preserve"> </v>
      </c>
      <c r="G26" s="182"/>
      <c r="H26" s="183"/>
      <c r="I26" s="172"/>
      <c r="J26" s="178"/>
      <c r="K26" s="819">
        <f>'ACAT-16'!K26</f>
        <v>-0.25</v>
      </c>
      <c r="L26" s="820" t="s">
        <v>52</v>
      </c>
      <c r="M26" s="139">
        <v>1</v>
      </c>
      <c r="N26" s="767">
        <v>0.37</v>
      </c>
      <c r="O26" s="768">
        <v>2</v>
      </c>
      <c r="P26" s="821">
        <f>'ACAT-16'!P26</f>
        <v>-3.3783783783783785</v>
      </c>
      <c r="Q26" s="796">
        <f>'ACAT-16'!Q26</f>
        <v>-10</v>
      </c>
      <c r="R26" s="820" t="s">
        <v>52</v>
      </c>
      <c r="S26" s="1068"/>
      <c r="T26" s="834" t="s">
        <v>191</v>
      </c>
      <c r="U26" s="787"/>
      <c r="V26" s="835" t="str">
        <f>'ACAT-16'!V26</f>
        <v xml:space="preserve"> </v>
      </c>
      <c r="W26" s="159"/>
      <c r="X26" s="836" t="str">
        <f>'ACAT-16'!X26</f>
        <v xml:space="preserve"> </v>
      </c>
      <c r="Y26" s="823" t="str">
        <f>'ACAT-16'!Y26</f>
        <v/>
      </c>
      <c r="Z26" s="824" t="str">
        <f>'ACAT-16'!Z26</f>
        <v/>
      </c>
      <c r="AA26" s="837" t="str">
        <f>'ACAT-16'!AA26</f>
        <v xml:space="preserve"> </v>
      </c>
      <c r="AB26" s="838" t="str">
        <f>'ACAT-16'!AB26</f>
        <v xml:space="preserve"> </v>
      </c>
      <c r="AC26" s="839" t="s">
        <v>52</v>
      </c>
      <c r="AD26" s="138"/>
      <c r="AE26" s="829"/>
      <c r="AF26" s="840"/>
      <c r="AG26" s="841"/>
      <c r="AH26" s="841"/>
      <c r="AI26" s="841"/>
      <c r="AJ26" s="841"/>
      <c r="AK26" s="841"/>
      <c r="AL26" s="841"/>
      <c r="AM26" s="841"/>
      <c r="AN26" s="138"/>
      <c r="AO26" s="138"/>
      <c r="AP26" s="724"/>
      <c r="AQ26" s="137"/>
    </row>
    <row r="27" spans="1:43" x14ac:dyDescent="0.3">
      <c r="A27" s="137"/>
      <c r="B27" s="842" t="s">
        <v>51</v>
      </c>
      <c r="C27" s="284" t="s">
        <v>52</v>
      </c>
      <c r="D27" s="186"/>
      <c r="E27" s="187" t="s">
        <v>34</v>
      </c>
      <c r="F27" s="150" t="str">
        <f>'ACAT-16'!F27</f>
        <v xml:space="preserve"> </v>
      </c>
      <c r="G27" s="182"/>
      <c r="H27" s="183"/>
      <c r="I27" s="172"/>
      <c r="J27" s="178"/>
      <c r="K27" s="819">
        <f>'ACAT-16'!K27</f>
        <v>-0.25</v>
      </c>
      <c r="L27" s="820" t="s">
        <v>52</v>
      </c>
      <c r="M27" s="139">
        <v>1</v>
      </c>
      <c r="N27" s="767">
        <v>0.37</v>
      </c>
      <c r="O27" s="768">
        <v>2</v>
      </c>
      <c r="P27" s="821">
        <f>'ACAT-16'!P27</f>
        <v>-3.3783783783783785</v>
      </c>
      <c r="Q27" s="796">
        <f>'ACAT-16'!Q27</f>
        <v>-10</v>
      </c>
      <c r="R27" s="820" t="s">
        <v>52</v>
      </c>
      <c r="S27" s="1068"/>
      <c r="T27" s="797" t="s">
        <v>191</v>
      </c>
      <c r="U27" s="787"/>
      <c r="V27" s="835" t="str">
        <f>'ACAT-16'!V27</f>
        <v xml:space="preserve"> </v>
      </c>
      <c r="W27" s="159"/>
      <c r="X27" s="836" t="str">
        <f>'ACAT-16'!X27</f>
        <v xml:space="preserve"> </v>
      </c>
      <c r="Y27" s="823" t="str">
        <f>'ACAT-16'!Y27</f>
        <v/>
      </c>
      <c r="Z27" s="824" t="str">
        <f>'ACAT-16'!Z27</f>
        <v/>
      </c>
      <c r="AA27" s="837" t="str">
        <f>'ACAT-16'!AA27</f>
        <v xml:space="preserve"> </v>
      </c>
      <c r="AB27" s="838" t="str">
        <f>'ACAT-16'!AB27</f>
        <v xml:space="preserve"> </v>
      </c>
      <c r="AC27" s="825" t="s">
        <v>52</v>
      </c>
      <c r="AD27" s="138"/>
      <c r="AE27" s="829"/>
      <c r="AF27" s="840"/>
      <c r="AG27" s="841"/>
      <c r="AH27" s="841"/>
      <c r="AI27" s="841"/>
      <c r="AJ27" s="841"/>
      <c r="AK27" s="841"/>
      <c r="AL27" s="841"/>
      <c r="AM27" s="841"/>
      <c r="AN27" s="138"/>
      <c r="AO27" s="138"/>
      <c r="AP27" s="724"/>
      <c r="AQ27" s="137"/>
    </row>
    <row r="28" spans="1:43" x14ac:dyDescent="0.3">
      <c r="A28" s="137"/>
      <c r="B28" s="843"/>
      <c r="C28" s="188"/>
      <c r="D28" s="189"/>
      <c r="E28" s="190"/>
      <c r="F28" s="191"/>
      <c r="G28" s="192"/>
      <c r="H28" s="183"/>
      <c r="I28" s="280"/>
      <c r="J28" s="178"/>
      <c r="K28" s="172"/>
      <c r="L28" s="795" t="s">
        <v>83</v>
      </c>
      <c r="M28" s="139">
        <v>13</v>
      </c>
      <c r="N28" s="767">
        <v>4</v>
      </c>
      <c r="O28" s="768">
        <v>1</v>
      </c>
      <c r="P28" s="784">
        <f>'ACAT-16'!P28</f>
        <v>-3.25</v>
      </c>
      <c r="Q28" s="796">
        <f>'ACAT-16'!Q28</f>
        <v>-10</v>
      </c>
      <c r="R28" s="795" t="s">
        <v>83</v>
      </c>
      <c r="S28" s="1068"/>
      <c r="T28" s="797" t="s">
        <v>88</v>
      </c>
      <c r="U28" s="787"/>
      <c r="V28" s="844" t="str">
        <f>'ACAT-16'!V28</f>
        <v xml:space="preserve"> </v>
      </c>
      <c r="W28" s="159"/>
      <c r="X28" s="811"/>
      <c r="Y28" s="159"/>
      <c r="Z28" s="811"/>
      <c r="AA28" s="812"/>
      <c r="AB28" s="145"/>
      <c r="AC28" s="793"/>
      <c r="AD28" s="138"/>
      <c r="AE28" s="829"/>
      <c r="AF28" s="840"/>
      <c r="AG28" s="841"/>
      <c r="AH28" s="841"/>
      <c r="AI28" s="841"/>
      <c r="AJ28" s="841"/>
      <c r="AK28" s="841"/>
      <c r="AL28" s="841"/>
      <c r="AM28" s="841"/>
      <c r="AN28" s="138"/>
      <c r="AO28" s="138"/>
      <c r="AP28" s="724"/>
      <c r="AQ28" s="137"/>
    </row>
    <row r="29" spans="1:43" x14ac:dyDescent="0.3">
      <c r="A29" s="137"/>
      <c r="B29" s="814"/>
      <c r="C29" s="176"/>
      <c r="D29" s="193"/>
      <c r="E29" s="194"/>
      <c r="F29" s="195" t="s">
        <v>74</v>
      </c>
      <c r="G29" s="169" t="s">
        <v>75</v>
      </c>
      <c r="H29" s="170" t="s">
        <v>73</v>
      </c>
      <c r="I29" s="171"/>
      <c r="J29" s="172"/>
      <c r="K29" s="804"/>
      <c r="L29" s="795" t="s">
        <v>84</v>
      </c>
      <c r="M29" s="145">
        <v>19</v>
      </c>
      <c r="N29" s="806">
        <v>4.7</v>
      </c>
      <c r="O29" s="807">
        <v>1</v>
      </c>
      <c r="P29" s="784">
        <f>'ACAT-16'!P29</f>
        <v>-0.85106382978723405</v>
      </c>
      <c r="Q29" s="796">
        <f>'ACAT-16'!Q29</f>
        <v>3</v>
      </c>
      <c r="R29" s="795" t="s">
        <v>84</v>
      </c>
      <c r="S29" s="1068"/>
      <c r="T29" s="787" t="s">
        <v>88</v>
      </c>
      <c r="U29" s="196"/>
      <c r="V29" s="844">
        <f>'ACAT-16'!V29</f>
        <v>30</v>
      </c>
      <c r="W29" s="159"/>
      <c r="X29" s="811"/>
      <c r="Y29" s="159"/>
      <c r="Z29" s="791"/>
      <c r="AA29" s="812"/>
      <c r="AB29" s="145"/>
      <c r="AC29" s="793"/>
      <c r="AD29" s="138"/>
      <c r="AE29" s="829"/>
      <c r="AF29" s="840"/>
      <c r="AG29" s="845"/>
      <c r="AH29" s="845"/>
      <c r="AI29" s="845"/>
      <c r="AJ29" s="845"/>
      <c r="AK29" s="845"/>
      <c r="AL29" s="845"/>
      <c r="AM29" s="845"/>
      <c r="AN29" s="841"/>
      <c r="AO29" s="139"/>
      <c r="AP29" s="724"/>
      <c r="AQ29" s="137"/>
    </row>
    <row r="30" spans="1:43" x14ac:dyDescent="0.3">
      <c r="A30" s="137"/>
      <c r="B30" s="783" t="s">
        <v>76</v>
      </c>
      <c r="C30" s="154" t="s">
        <v>77</v>
      </c>
      <c r="D30" s="149" t="s">
        <v>45</v>
      </c>
      <c r="E30" s="173"/>
      <c r="F30" s="151" t="str">
        <f>'ACAT-16'!F30</f>
        <v xml:space="preserve"> </v>
      </c>
      <c r="G30" s="151">
        <f>'ACAT-16'!G30</f>
        <v>15</v>
      </c>
      <c r="H30" s="151">
        <f>'ACAT-16'!H30</f>
        <v>10</v>
      </c>
      <c r="I30" s="197"/>
      <c r="J30" s="158"/>
      <c r="K30" s="158"/>
      <c r="L30" s="795" t="s">
        <v>89</v>
      </c>
      <c r="M30" s="139">
        <v>9</v>
      </c>
      <c r="N30" s="767">
        <v>4</v>
      </c>
      <c r="O30" s="768">
        <v>1</v>
      </c>
      <c r="P30" s="784">
        <f>'ACAT-16'!P30</f>
        <v>0.25</v>
      </c>
      <c r="Q30" s="796">
        <f>'ACAT-16'!Q30</f>
        <v>3</v>
      </c>
      <c r="R30" s="795" t="s">
        <v>89</v>
      </c>
      <c r="S30" s="1068"/>
      <c r="T30" s="797" t="s">
        <v>88</v>
      </c>
      <c r="U30" s="787"/>
      <c r="V30" s="844">
        <f>'ACAT-16'!V30</f>
        <v>30</v>
      </c>
      <c r="W30" s="159"/>
      <c r="X30" s="811"/>
      <c r="Y30" s="159"/>
      <c r="Z30" s="791"/>
      <c r="AA30" s="812"/>
      <c r="AB30" s="145"/>
      <c r="AC30" s="793"/>
      <c r="AD30" s="138"/>
      <c r="AE30" s="829"/>
      <c r="AF30" s="830"/>
      <c r="AG30" s="841" t="s">
        <v>110</v>
      </c>
      <c r="AH30" s="841" t="s">
        <v>60</v>
      </c>
      <c r="AI30" s="841" t="s">
        <v>60</v>
      </c>
      <c r="AJ30" s="841" t="s">
        <v>52</v>
      </c>
      <c r="AK30" s="841" t="s">
        <v>52</v>
      </c>
      <c r="AL30" s="841" t="s">
        <v>101</v>
      </c>
      <c r="AM30" s="841" t="s">
        <v>102</v>
      </c>
      <c r="AN30" s="841" t="s">
        <v>111</v>
      </c>
      <c r="AO30" s="138"/>
      <c r="AP30" s="767"/>
      <c r="AQ30" s="137"/>
    </row>
    <row r="31" spans="1:43" x14ac:dyDescent="0.3">
      <c r="A31" s="137"/>
      <c r="B31" s="783" t="s">
        <v>78</v>
      </c>
      <c r="C31" s="154" t="s">
        <v>79</v>
      </c>
      <c r="D31" s="149" t="s">
        <v>46</v>
      </c>
      <c r="E31" s="173"/>
      <c r="F31" s="151">
        <f>'ACAT-16'!F31</f>
        <v>10</v>
      </c>
      <c r="G31" s="151">
        <f>'ACAT-16'!G31</f>
        <v>16</v>
      </c>
      <c r="H31" s="151">
        <f>'ACAT-16'!H31</f>
        <v>12</v>
      </c>
      <c r="I31" s="197"/>
      <c r="J31" s="158"/>
      <c r="K31" s="158"/>
      <c r="L31" s="795" t="s">
        <v>87</v>
      </c>
      <c r="M31" s="139">
        <v>11</v>
      </c>
      <c r="N31" s="767">
        <v>3</v>
      </c>
      <c r="O31" s="768">
        <v>1</v>
      </c>
      <c r="P31" s="784">
        <f>'ACAT-16'!P31</f>
        <v>-0.33333333333333331</v>
      </c>
      <c r="Q31" s="796">
        <f>'ACAT-16'!Q31</f>
        <v>3</v>
      </c>
      <c r="R31" s="795" t="s">
        <v>87</v>
      </c>
      <c r="S31" s="1068"/>
      <c r="T31" s="797" t="s">
        <v>100</v>
      </c>
      <c r="U31" s="787"/>
      <c r="V31" s="822"/>
      <c r="W31" s="159"/>
      <c r="X31" s="846">
        <f>'ACAT-16'!X31</f>
        <v>30</v>
      </c>
      <c r="Y31" s="159"/>
      <c r="Z31" s="791"/>
      <c r="AA31" s="812"/>
      <c r="AB31" s="145"/>
      <c r="AC31" s="793"/>
      <c r="AD31" s="138"/>
      <c r="AE31" s="847"/>
      <c r="AF31" s="848" t="s">
        <v>198</v>
      </c>
      <c r="AG31" s="849" t="s">
        <v>141</v>
      </c>
      <c r="AH31" s="850" t="s">
        <v>145</v>
      </c>
      <c r="AI31" s="850" t="s">
        <v>145</v>
      </c>
      <c r="AJ31" s="850" t="s">
        <v>145</v>
      </c>
      <c r="AK31" s="850" t="s">
        <v>145</v>
      </c>
      <c r="AL31" s="850" t="s">
        <v>141</v>
      </c>
      <c r="AM31" s="850" t="s">
        <v>141</v>
      </c>
      <c r="AN31" s="850" t="s">
        <v>141</v>
      </c>
      <c r="AO31" s="138"/>
      <c r="AP31" s="767"/>
      <c r="AQ31" s="137"/>
    </row>
    <row r="32" spans="1:43" x14ac:dyDescent="0.3">
      <c r="A32" s="137"/>
      <c r="B32" s="794"/>
      <c r="C32" s="198"/>
      <c r="D32" s="199"/>
      <c r="E32" s="172"/>
      <c r="F32" s="163"/>
      <c r="G32" s="200"/>
      <c r="H32" s="172"/>
      <c r="I32" s="158"/>
      <c r="J32" s="158"/>
      <c r="K32" s="158"/>
      <c r="L32" s="795" t="s">
        <v>85</v>
      </c>
      <c r="M32" s="139">
        <v>20</v>
      </c>
      <c r="N32" s="767">
        <v>2.9</v>
      </c>
      <c r="O32" s="768">
        <v>1</v>
      </c>
      <c r="P32" s="784">
        <f>'ACAT-16'!P32</f>
        <v>-1.3793103448275863</v>
      </c>
      <c r="Q32" s="796">
        <f>'ACAT-16'!Q32</f>
        <v>2</v>
      </c>
      <c r="R32" s="795" t="s">
        <v>85</v>
      </c>
      <c r="S32" s="1068"/>
      <c r="T32" s="834" t="s">
        <v>100</v>
      </c>
      <c r="U32" s="787"/>
      <c r="V32" s="822"/>
      <c r="W32" s="159"/>
      <c r="X32" s="846">
        <f>'ACAT-16'!X32</f>
        <v>20</v>
      </c>
      <c r="Y32" s="159"/>
      <c r="Z32" s="791"/>
      <c r="AA32" s="812"/>
      <c r="AB32" s="145"/>
      <c r="AC32" s="793"/>
      <c r="AD32" s="138"/>
      <c r="AE32" s="847"/>
      <c r="AF32" s="851"/>
      <c r="AG32" s="852"/>
      <c r="AH32" s="852"/>
      <c r="AI32" s="852"/>
      <c r="AJ32" s="852"/>
      <c r="AK32" s="852"/>
      <c r="AL32" s="852"/>
      <c r="AM32" s="852"/>
      <c r="AN32" s="852"/>
      <c r="AO32" s="138"/>
      <c r="AP32" s="767"/>
      <c r="AQ32" s="137"/>
    </row>
    <row r="33" spans="1:43" x14ac:dyDescent="0.3">
      <c r="A33" s="137"/>
      <c r="B33" s="814"/>
      <c r="C33" s="201"/>
      <c r="D33" s="202"/>
      <c r="E33" s="172"/>
      <c r="F33" s="179"/>
      <c r="G33" s="172"/>
      <c r="H33" s="172"/>
      <c r="I33" s="158"/>
      <c r="J33" s="158"/>
      <c r="K33" s="158"/>
      <c r="L33" s="795" t="s">
        <v>86</v>
      </c>
      <c r="M33" s="139">
        <v>12</v>
      </c>
      <c r="N33" s="767">
        <v>2.9</v>
      </c>
      <c r="O33" s="768">
        <v>1</v>
      </c>
      <c r="P33" s="784">
        <f>'ACAT-16'!P33</f>
        <v>0</v>
      </c>
      <c r="Q33" s="796">
        <f>'ACAT-16'!Q33</f>
        <v>3</v>
      </c>
      <c r="R33" s="795" t="s">
        <v>86</v>
      </c>
      <c r="S33" s="1068"/>
      <c r="T33" s="797" t="s">
        <v>100</v>
      </c>
      <c r="U33" s="787"/>
      <c r="V33" s="822"/>
      <c r="W33" s="159"/>
      <c r="X33" s="846">
        <f>'ACAT-16'!X33</f>
        <v>30</v>
      </c>
      <c r="Y33" s="159"/>
      <c r="Z33" s="791"/>
      <c r="AA33" s="812"/>
      <c r="AB33" s="145"/>
      <c r="AC33" s="793"/>
      <c r="AD33" s="138"/>
      <c r="AE33" s="853" t="s">
        <v>13</v>
      </c>
      <c r="AF33" s="854" t="s">
        <v>112</v>
      </c>
      <c r="AG33" s="855" t="s">
        <v>142</v>
      </c>
      <c r="AH33" s="856" t="s">
        <v>145</v>
      </c>
      <c r="AI33" s="856" t="s">
        <v>145</v>
      </c>
      <c r="AJ33" s="856" t="s">
        <v>145</v>
      </c>
      <c r="AK33" s="856" t="s">
        <v>145</v>
      </c>
      <c r="AL33" s="856" t="s">
        <v>142</v>
      </c>
      <c r="AM33" s="856" t="s">
        <v>142</v>
      </c>
      <c r="AN33" s="856" t="s">
        <v>147</v>
      </c>
      <c r="AO33" s="138"/>
      <c r="AP33" s="767"/>
      <c r="AQ33" s="137"/>
    </row>
    <row r="34" spans="1:43" x14ac:dyDescent="0.3">
      <c r="A34" s="137"/>
      <c r="B34" s="857">
        <v>20</v>
      </c>
      <c r="C34" s="154" t="s">
        <v>129</v>
      </c>
      <c r="D34" s="149" t="s">
        <v>54</v>
      </c>
      <c r="E34" s="173"/>
      <c r="F34" s="150">
        <f>'ACAT-16'!F34</f>
        <v>-1.5</v>
      </c>
      <c r="G34" s="203"/>
      <c r="H34" s="204"/>
      <c r="I34" s="158"/>
      <c r="J34" s="158"/>
      <c r="K34" s="858">
        <f>'ACAT-16'!K34</f>
        <v>-1.75</v>
      </c>
      <c r="L34" s="820" t="s">
        <v>90</v>
      </c>
      <c r="M34" s="139">
        <v>-3.5</v>
      </c>
      <c r="N34" s="767">
        <v>1</v>
      </c>
      <c r="O34" s="768">
        <v>1</v>
      </c>
      <c r="P34" s="784">
        <f>'ACAT-16'!P34</f>
        <v>1.75</v>
      </c>
      <c r="Q34" s="796">
        <f>'ACAT-16'!Q34</f>
        <v>2</v>
      </c>
      <c r="R34" s="820" t="s">
        <v>90</v>
      </c>
      <c r="S34" s="1068"/>
      <c r="T34" s="797" t="s">
        <v>101</v>
      </c>
      <c r="U34" s="787"/>
      <c r="V34" s="822"/>
      <c r="W34" s="159"/>
      <c r="X34" s="836">
        <f>'ACAT-16'!X34</f>
        <v>20</v>
      </c>
      <c r="Y34" s="859">
        <f>'ACAT-16'!Y34</f>
        <v>20</v>
      </c>
      <c r="Z34" s="791"/>
      <c r="AA34" s="837">
        <f>'ACAT-16'!AA34</f>
        <v>20</v>
      </c>
      <c r="AB34" s="838" t="str">
        <f>'ACAT-16'!AB34</f>
        <v xml:space="preserve"> </v>
      </c>
      <c r="AC34" s="825" t="s">
        <v>101</v>
      </c>
      <c r="AD34" s="138"/>
      <c r="AE34" s="860"/>
      <c r="AF34" s="861" t="s">
        <v>219</v>
      </c>
      <c r="AG34" s="862" t="s">
        <v>142</v>
      </c>
      <c r="AH34" s="852" t="s">
        <v>144</v>
      </c>
      <c r="AI34" s="852" t="s">
        <v>144</v>
      </c>
      <c r="AJ34" s="852" t="s">
        <v>143</v>
      </c>
      <c r="AK34" s="852" t="s">
        <v>143</v>
      </c>
      <c r="AL34" s="852" t="s">
        <v>142</v>
      </c>
      <c r="AM34" s="852" t="s">
        <v>142</v>
      </c>
      <c r="AN34" s="862" t="s">
        <v>145</v>
      </c>
      <c r="AO34" s="138"/>
      <c r="AP34" s="767"/>
      <c r="AQ34" s="137"/>
    </row>
    <row r="35" spans="1:43" x14ac:dyDescent="0.3">
      <c r="A35" s="137"/>
      <c r="B35" s="863"/>
      <c r="C35" s="154" t="s">
        <v>130</v>
      </c>
      <c r="D35" s="149" t="s">
        <v>54</v>
      </c>
      <c r="E35" s="285" t="s">
        <v>32</v>
      </c>
      <c r="F35" s="150" t="str">
        <f>'ACAT-16'!F35</f>
        <v xml:space="preserve"> </v>
      </c>
      <c r="G35" s="203"/>
      <c r="H35" s="204"/>
      <c r="I35" s="158"/>
      <c r="J35" s="158"/>
      <c r="K35" s="858">
        <f>'ACAT-16'!K35</f>
        <v>-0.25</v>
      </c>
      <c r="L35" s="820" t="s">
        <v>132</v>
      </c>
      <c r="M35" s="139">
        <v>-3.5</v>
      </c>
      <c r="N35" s="767">
        <v>1</v>
      </c>
      <c r="O35" s="768">
        <v>1</v>
      </c>
      <c r="P35" s="784">
        <f>'ACAT-16'!P35</f>
        <v>3.25</v>
      </c>
      <c r="Q35" s="796">
        <f>'ACAT-16'!Q35</f>
        <v>-10</v>
      </c>
      <c r="R35" s="820" t="s">
        <v>132</v>
      </c>
      <c r="S35" s="1068"/>
      <c r="T35" s="196"/>
      <c r="U35" s="787"/>
      <c r="V35" s="196"/>
      <c r="W35" s="787"/>
      <c r="X35" s="748"/>
      <c r="Y35" s="859" t="str">
        <f>'ACAT-16'!Y35</f>
        <v/>
      </c>
      <c r="Z35" s="748"/>
      <c r="AA35" s="812" t="str">
        <f t="shared" ref="AA35:AA39" si="0">IF(Q35&lt;0," ",Q35*10)</f>
        <v xml:space="preserve"> </v>
      </c>
      <c r="AB35" s="864"/>
      <c r="AC35" s="825" t="s">
        <v>234</v>
      </c>
      <c r="AD35" s="138"/>
      <c r="AE35" s="860"/>
      <c r="AF35" s="854" t="s">
        <v>113</v>
      </c>
      <c r="AG35" s="856" t="s">
        <v>142</v>
      </c>
      <c r="AH35" s="856" t="s">
        <v>147</v>
      </c>
      <c r="AI35" s="856" t="s">
        <v>147</v>
      </c>
      <c r="AJ35" s="856" t="s">
        <v>147</v>
      </c>
      <c r="AK35" s="856" t="s">
        <v>147</v>
      </c>
      <c r="AL35" s="856" t="s">
        <v>147</v>
      </c>
      <c r="AM35" s="856" t="s">
        <v>209</v>
      </c>
      <c r="AN35" s="856" t="s">
        <v>147</v>
      </c>
      <c r="AO35" s="138"/>
      <c r="AP35" s="806"/>
      <c r="AQ35" s="137"/>
    </row>
    <row r="36" spans="1:43" x14ac:dyDescent="0.3">
      <c r="A36" s="137"/>
      <c r="B36" s="865"/>
      <c r="C36" s="154" t="s">
        <v>130</v>
      </c>
      <c r="D36" s="149" t="s">
        <v>54</v>
      </c>
      <c r="E36" s="285" t="s">
        <v>34</v>
      </c>
      <c r="F36" s="150" t="str">
        <f>'ACAT-16'!F36</f>
        <v xml:space="preserve"> </v>
      </c>
      <c r="G36" s="203"/>
      <c r="H36" s="204"/>
      <c r="I36" s="158"/>
      <c r="J36" s="158"/>
      <c r="K36" s="858">
        <f>'ACAT-16'!K36</f>
        <v>-0.25</v>
      </c>
      <c r="L36" s="820" t="s">
        <v>132</v>
      </c>
      <c r="M36" s="139">
        <v>-3.5</v>
      </c>
      <c r="N36" s="767">
        <v>1</v>
      </c>
      <c r="O36" s="768">
        <v>1</v>
      </c>
      <c r="P36" s="784">
        <f>'ACAT-16'!P36</f>
        <v>3.25</v>
      </c>
      <c r="Q36" s="796">
        <f>'ACAT-16'!Q36</f>
        <v>-10</v>
      </c>
      <c r="R36" s="820" t="s">
        <v>132</v>
      </c>
      <c r="S36" s="1068"/>
      <c r="T36" s="196"/>
      <c r="U36" s="787"/>
      <c r="V36" s="788"/>
      <c r="W36" s="159"/>
      <c r="X36" s="811"/>
      <c r="Y36" s="859" t="str">
        <f>'ACAT-16'!Y36</f>
        <v/>
      </c>
      <c r="Z36" s="791"/>
      <c r="AA36" s="812" t="str">
        <f t="shared" si="0"/>
        <v xml:space="preserve"> </v>
      </c>
      <c r="AB36" s="864"/>
      <c r="AC36" s="825" t="s">
        <v>234</v>
      </c>
      <c r="AD36" s="137"/>
      <c r="AE36" s="860"/>
      <c r="AF36" s="851" t="s">
        <v>114</v>
      </c>
      <c r="AG36" s="852" t="s">
        <v>148</v>
      </c>
      <c r="AH36" s="852" t="s">
        <v>147</v>
      </c>
      <c r="AI36" s="852" t="s">
        <v>147</v>
      </c>
      <c r="AJ36" s="852" t="s">
        <v>147</v>
      </c>
      <c r="AK36" s="852" t="s">
        <v>147</v>
      </c>
      <c r="AL36" s="852" t="s">
        <v>147</v>
      </c>
      <c r="AM36" s="852" t="s">
        <v>209</v>
      </c>
      <c r="AN36" s="852" t="s">
        <v>147</v>
      </c>
      <c r="AO36" s="138"/>
      <c r="AP36" s="767"/>
      <c r="AQ36" s="137"/>
    </row>
    <row r="37" spans="1:43" x14ac:dyDescent="0.3">
      <c r="A37" s="137"/>
      <c r="B37" s="783">
        <v>21</v>
      </c>
      <c r="C37" s="154" t="s">
        <v>137</v>
      </c>
      <c r="D37" s="149" t="s">
        <v>55</v>
      </c>
      <c r="E37" s="174"/>
      <c r="F37" s="150">
        <f>'ACAT-16'!F37</f>
        <v>1.75</v>
      </c>
      <c r="G37" s="203"/>
      <c r="H37" s="192"/>
      <c r="I37" s="158"/>
      <c r="J37" s="158"/>
      <c r="K37" s="858">
        <f>'ACAT-16'!K37</f>
        <v>1.5</v>
      </c>
      <c r="L37" s="820" t="s">
        <v>91</v>
      </c>
      <c r="M37" s="139">
        <v>2.37</v>
      </c>
      <c r="N37" s="767">
        <v>0.5</v>
      </c>
      <c r="O37" s="768">
        <v>1</v>
      </c>
      <c r="P37" s="784">
        <f>'ACAT-16'!P37</f>
        <v>-1.7400000000000002</v>
      </c>
      <c r="Q37" s="796">
        <f>'ACAT-16'!Q37</f>
        <v>2</v>
      </c>
      <c r="R37" s="820" t="s">
        <v>91</v>
      </c>
      <c r="S37" s="1068"/>
      <c r="T37" s="797" t="s">
        <v>102</v>
      </c>
      <c r="U37" s="787"/>
      <c r="V37" s="866">
        <f>'ACAT-16'!V37</f>
        <v>20</v>
      </c>
      <c r="W37" s="159"/>
      <c r="X37" s="811"/>
      <c r="Y37" s="159"/>
      <c r="Z37" s="824">
        <f>'ACAT-16'!Z37</f>
        <v>20</v>
      </c>
      <c r="AA37" s="837">
        <f>'ACAT-16'!AA37</f>
        <v>20</v>
      </c>
      <c r="AB37" s="838" t="str">
        <f>'ACAT-16'!AB37</f>
        <v xml:space="preserve"> </v>
      </c>
      <c r="AC37" s="825" t="s">
        <v>102</v>
      </c>
      <c r="AD37" s="137"/>
      <c r="AE37" s="860"/>
      <c r="AF37" s="854" t="s">
        <v>115</v>
      </c>
      <c r="AG37" s="856" t="s">
        <v>148</v>
      </c>
      <c r="AH37" s="856" t="s">
        <v>148</v>
      </c>
      <c r="AI37" s="856" t="s">
        <v>148</v>
      </c>
      <c r="AJ37" s="856" t="s">
        <v>148</v>
      </c>
      <c r="AK37" s="856" t="s">
        <v>148</v>
      </c>
      <c r="AL37" s="856" t="s">
        <v>148</v>
      </c>
      <c r="AM37" s="856" t="s">
        <v>147</v>
      </c>
      <c r="AN37" s="867" t="s">
        <v>147</v>
      </c>
      <c r="AO37" s="138"/>
      <c r="AP37" s="724"/>
      <c r="AQ37" s="137"/>
    </row>
    <row r="38" spans="1:43" x14ac:dyDescent="0.3">
      <c r="A38" s="137"/>
      <c r="B38" s="868"/>
      <c r="C38" s="154" t="s">
        <v>138</v>
      </c>
      <c r="D38" s="149" t="s">
        <v>55</v>
      </c>
      <c r="E38" s="205" t="s">
        <v>32</v>
      </c>
      <c r="F38" s="150" t="str">
        <f>'ACAT-16'!F38</f>
        <v xml:space="preserve"> </v>
      </c>
      <c r="G38" s="203"/>
      <c r="H38" s="206" t="s">
        <v>208</v>
      </c>
      <c r="I38" s="207"/>
      <c r="J38" s="208"/>
      <c r="K38" s="858">
        <f>'ACAT-16'!K38</f>
        <v>-0.25</v>
      </c>
      <c r="L38" s="820" t="s">
        <v>131</v>
      </c>
      <c r="M38" s="139">
        <v>2.37</v>
      </c>
      <c r="N38" s="767">
        <v>0.5</v>
      </c>
      <c r="O38" s="768">
        <v>1</v>
      </c>
      <c r="P38" s="784">
        <f>'ACAT-16'!P38</f>
        <v>-5.24</v>
      </c>
      <c r="Q38" s="796">
        <f>'ACAT-16'!Q38</f>
        <v>-10</v>
      </c>
      <c r="R38" s="820" t="s">
        <v>131</v>
      </c>
      <c r="S38" s="1068"/>
      <c r="T38" s="196"/>
      <c r="U38" s="787"/>
      <c r="V38" s="788"/>
      <c r="W38" s="159"/>
      <c r="X38" s="811"/>
      <c r="Y38" s="159"/>
      <c r="Z38" s="824" t="str">
        <f>'ACAT-16'!Z38</f>
        <v/>
      </c>
      <c r="AA38" s="812" t="str">
        <f t="shared" si="0"/>
        <v xml:space="preserve"> </v>
      </c>
      <c r="AB38" s="864"/>
      <c r="AC38" s="825" t="s">
        <v>235</v>
      </c>
      <c r="AD38" s="137"/>
      <c r="AE38" s="829"/>
      <c r="AF38" s="840"/>
      <c r="AG38" s="841"/>
      <c r="AH38" s="841"/>
      <c r="AI38" s="841"/>
      <c r="AJ38" s="841"/>
      <c r="AK38" s="841"/>
      <c r="AL38" s="841"/>
      <c r="AM38" s="841"/>
      <c r="AN38" s="841"/>
      <c r="AO38" s="138"/>
      <c r="AP38" s="724"/>
      <c r="AQ38" s="137"/>
    </row>
    <row r="39" spans="1:43" x14ac:dyDescent="0.3">
      <c r="A39" s="137"/>
      <c r="B39" s="868"/>
      <c r="C39" s="154" t="s">
        <v>139</v>
      </c>
      <c r="D39" s="149" t="s">
        <v>55</v>
      </c>
      <c r="E39" s="205" t="s">
        <v>34</v>
      </c>
      <c r="F39" s="150" t="str">
        <f>'ACAT-16'!F39</f>
        <v xml:space="preserve"> </v>
      </c>
      <c r="G39" s="203"/>
      <c r="H39" s="209"/>
      <c r="I39" s="210" t="s">
        <v>206</v>
      </c>
      <c r="J39" s="210" t="s">
        <v>207</v>
      </c>
      <c r="K39" s="858">
        <f>'ACAT-16'!K39</f>
        <v>-0.25</v>
      </c>
      <c r="L39" s="820" t="s">
        <v>131</v>
      </c>
      <c r="M39" s="139">
        <v>2.37</v>
      </c>
      <c r="N39" s="767">
        <v>0.5</v>
      </c>
      <c r="O39" s="768">
        <v>1</v>
      </c>
      <c r="P39" s="784">
        <f>'ACAT-16'!P39</f>
        <v>-5.24</v>
      </c>
      <c r="Q39" s="796">
        <f>'ACAT-16'!Q39</f>
        <v>-10</v>
      </c>
      <c r="R39" s="820" t="s">
        <v>131</v>
      </c>
      <c r="S39" s="1068"/>
      <c r="T39" s="196"/>
      <c r="U39" s="787"/>
      <c r="V39" s="788"/>
      <c r="W39" s="159"/>
      <c r="X39" s="811"/>
      <c r="Y39" s="159"/>
      <c r="Z39" s="824" t="str">
        <f>'ACAT-16'!Z39</f>
        <v/>
      </c>
      <c r="AA39" s="812" t="str">
        <f t="shared" si="0"/>
        <v xml:space="preserve"> </v>
      </c>
      <c r="AB39" s="864"/>
      <c r="AC39" s="825" t="s">
        <v>235</v>
      </c>
      <c r="AD39" s="137"/>
      <c r="AE39" s="829"/>
      <c r="AF39" s="840"/>
      <c r="AG39" s="841"/>
      <c r="AH39" s="841"/>
      <c r="AI39" s="841"/>
      <c r="AJ39" s="841"/>
      <c r="AK39" s="841"/>
      <c r="AL39" s="841"/>
      <c r="AM39" s="841"/>
      <c r="AN39" s="841"/>
      <c r="AO39" s="138"/>
      <c r="AP39" s="724"/>
      <c r="AQ39" s="137"/>
    </row>
    <row r="40" spans="1:43" x14ac:dyDescent="0.3">
      <c r="A40" s="137"/>
      <c r="B40" s="869" t="s">
        <v>56</v>
      </c>
      <c r="C40" s="138"/>
      <c r="D40" s="139"/>
      <c r="E40" s="145"/>
      <c r="F40" s="139"/>
      <c r="G40" s="203"/>
      <c r="H40" s="211" t="s">
        <v>171</v>
      </c>
      <c r="I40" s="210">
        <f ca="1">AH15</f>
        <v>2</v>
      </c>
      <c r="J40" s="210">
        <f ca="1">AI15</f>
        <v>40</v>
      </c>
      <c r="K40" s="158"/>
      <c r="L40" s="820"/>
      <c r="M40" s="139"/>
      <c r="N40" s="767"/>
      <c r="O40" s="768"/>
      <c r="P40" s="784">
        <f>'ACAT-16'!P40</f>
        <v>0</v>
      </c>
      <c r="Q40" s="796">
        <f>'ACAT-16'!Q40</f>
        <v>0</v>
      </c>
      <c r="R40" s="820"/>
      <c r="S40" s="1068"/>
      <c r="T40" s="196"/>
      <c r="U40" s="787"/>
      <c r="V40" s="822"/>
      <c r="W40" s="159"/>
      <c r="X40" s="811"/>
      <c r="Y40" s="159"/>
      <c r="Z40" s="791"/>
      <c r="AA40" s="812"/>
      <c r="AB40" s="864"/>
      <c r="AC40" s="793"/>
      <c r="AD40" s="137"/>
      <c r="AE40" s="870" t="s">
        <v>15</v>
      </c>
      <c r="AF40" s="871" t="s">
        <v>116</v>
      </c>
      <c r="AG40" s="872" t="s">
        <v>141</v>
      </c>
      <c r="AH40" s="873" t="s">
        <v>147</v>
      </c>
      <c r="AI40" s="873" t="s">
        <v>147</v>
      </c>
      <c r="AJ40" s="873" t="s">
        <v>147</v>
      </c>
      <c r="AK40" s="873" t="s">
        <v>147</v>
      </c>
      <c r="AL40" s="872"/>
      <c r="AM40" s="873" t="s">
        <v>146</v>
      </c>
      <c r="AN40" s="872" t="s">
        <v>146</v>
      </c>
      <c r="AO40" s="138"/>
      <c r="AP40" s="724"/>
      <c r="AQ40" s="137"/>
    </row>
    <row r="41" spans="1:43" x14ac:dyDescent="0.3">
      <c r="A41" s="137"/>
      <c r="B41" s="874"/>
      <c r="C41" s="1071" t="s">
        <v>60</v>
      </c>
      <c r="D41" s="212"/>
      <c r="E41" s="213" t="s">
        <v>32</v>
      </c>
      <c r="F41" s="150">
        <f>'ACAT-16'!F41</f>
        <v>1.75</v>
      </c>
      <c r="G41" s="203"/>
      <c r="H41" s="211" t="s">
        <v>172</v>
      </c>
      <c r="I41" s="210">
        <f ca="1">IF(E9&gt;40,"",AH16)</f>
        <v>2</v>
      </c>
      <c r="J41" s="210">
        <f ca="1">IF(E9&gt;40,"",AI16)</f>
        <v>40</v>
      </c>
      <c r="K41" s="158"/>
      <c r="L41" s="820" t="s">
        <v>98</v>
      </c>
      <c r="M41" s="139">
        <v>0.62</v>
      </c>
      <c r="N41" s="767">
        <v>0.18</v>
      </c>
      <c r="O41" s="768">
        <v>2</v>
      </c>
      <c r="P41" s="784">
        <f>'ACAT-16'!P41</f>
        <v>6.2777777777777777</v>
      </c>
      <c r="Q41" s="796">
        <f>'ACAT-16'!Q41</f>
        <v>0</v>
      </c>
      <c r="R41" s="820" t="s">
        <v>98</v>
      </c>
      <c r="S41" s="1068"/>
      <c r="T41" s="797" t="s">
        <v>61</v>
      </c>
      <c r="U41" s="787"/>
      <c r="V41" s="835" t="str">
        <f>'ACAT-16'!V41</f>
        <v/>
      </c>
      <c r="W41" s="875"/>
      <c r="X41" s="836">
        <f>'ACAT-16'!X41</f>
        <v>0</v>
      </c>
      <c r="Y41" s="859">
        <f>'ACAT-16'!Y41</f>
        <v>0</v>
      </c>
      <c r="Z41" s="824" t="str">
        <f>'ACAT-16'!Z41</f>
        <v/>
      </c>
      <c r="AA41" s="837">
        <f>'ACAT-16'!AA41</f>
        <v>0</v>
      </c>
      <c r="AB41" s="864"/>
      <c r="AC41" s="793"/>
      <c r="AD41" s="137"/>
      <c r="AE41" s="829"/>
      <c r="AF41" s="851" t="s">
        <v>117</v>
      </c>
      <c r="AG41" s="876" t="s">
        <v>140</v>
      </c>
      <c r="AH41" s="877" t="s">
        <v>147</v>
      </c>
      <c r="AI41" s="877" t="s">
        <v>147</v>
      </c>
      <c r="AJ41" s="852" t="s">
        <v>147</v>
      </c>
      <c r="AK41" s="852" t="s">
        <v>147</v>
      </c>
      <c r="AL41" s="862"/>
      <c r="AM41" s="852" t="s">
        <v>148</v>
      </c>
      <c r="AN41" s="877" t="s">
        <v>144</v>
      </c>
      <c r="AO41" s="138"/>
      <c r="AP41" s="724"/>
      <c r="AQ41" s="137"/>
    </row>
    <row r="42" spans="1:43" x14ac:dyDescent="0.3">
      <c r="A42" s="137"/>
      <c r="B42" s="874"/>
      <c r="C42" s="1072"/>
      <c r="D42" s="214"/>
      <c r="E42" s="215" t="s">
        <v>34</v>
      </c>
      <c r="F42" s="150">
        <f>'ACAT-16'!F42</f>
        <v>1.75</v>
      </c>
      <c r="G42" s="203"/>
      <c r="H42" s="183"/>
      <c r="I42" s="158"/>
      <c r="J42" s="158"/>
      <c r="K42" s="158"/>
      <c r="L42" s="820" t="s">
        <v>98</v>
      </c>
      <c r="M42" s="139">
        <v>0.62</v>
      </c>
      <c r="N42" s="767">
        <v>0.18</v>
      </c>
      <c r="O42" s="768">
        <v>2</v>
      </c>
      <c r="P42" s="784">
        <f>'ACAT-16'!P42</f>
        <v>6.2777777777777777</v>
      </c>
      <c r="Q42" s="796">
        <f>'ACAT-16'!Q42</f>
        <v>0</v>
      </c>
      <c r="R42" s="820" t="s">
        <v>98</v>
      </c>
      <c r="S42" s="1068"/>
      <c r="T42" s="797" t="s">
        <v>61</v>
      </c>
      <c r="U42" s="787"/>
      <c r="V42" s="835" t="str">
        <f>'ACAT-16'!V42</f>
        <v/>
      </c>
      <c r="W42" s="875"/>
      <c r="X42" s="836">
        <f>'ACAT-16'!X42</f>
        <v>0</v>
      </c>
      <c r="Y42" s="859">
        <f>'ACAT-16'!Y42</f>
        <v>0</v>
      </c>
      <c r="Z42" s="824" t="str">
        <f>'ACAT-16'!Z42</f>
        <v/>
      </c>
      <c r="AA42" s="837">
        <f>'ACAT-16'!AA42</f>
        <v>0</v>
      </c>
      <c r="AB42" s="864"/>
      <c r="AC42" s="793"/>
      <c r="AD42" s="137"/>
      <c r="AE42" s="829"/>
      <c r="AF42" s="871" t="s">
        <v>118</v>
      </c>
      <c r="AG42" s="873" t="s">
        <v>140</v>
      </c>
      <c r="AH42" s="873" t="s">
        <v>190</v>
      </c>
      <c r="AI42" s="873" t="s">
        <v>190</v>
      </c>
      <c r="AJ42" s="873" t="s">
        <v>190</v>
      </c>
      <c r="AK42" s="873" t="s">
        <v>190</v>
      </c>
      <c r="AL42" s="872"/>
      <c r="AM42" s="873" t="s">
        <v>190</v>
      </c>
      <c r="AN42" s="873" t="s">
        <v>148</v>
      </c>
      <c r="AO42" s="138"/>
      <c r="AP42" s="724"/>
      <c r="AQ42" s="137"/>
    </row>
    <row r="43" spans="1:43" x14ac:dyDescent="0.3">
      <c r="A43" s="137"/>
      <c r="B43" s="874"/>
      <c r="C43" s="216" t="s">
        <v>62</v>
      </c>
      <c r="D43" s="217" t="s">
        <v>63</v>
      </c>
      <c r="E43" s="213" t="s">
        <v>53</v>
      </c>
      <c r="F43" s="151" t="str">
        <f>'ACAT-16'!F43</f>
        <v xml:space="preserve"> </v>
      </c>
      <c r="G43" s="151" t="str">
        <f>'ACAT-16'!G43</f>
        <v>i</v>
      </c>
      <c r="H43" s="237" t="s">
        <v>222</v>
      </c>
      <c r="I43" s="158"/>
      <c r="J43" s="158"/>
      <c r="K43" s="158"/>
      <c r="L43" s="795" t="s">
        <v>99</v>
      </c>
      <c r="M43" s="139">
        <v>15</v>
      </c>
      <c r="N43" s="767">
        <v>5</v>
      </c>
      <c r="O43" s="768">
        <v>1</v>
      </c>
      <c r="P43" s="784">
        <f>'ACAT-16'!P43</f>
        <v>-3</v>
      </c>
      <c r="Q43" s="796">
        <f>'ACAT-16'!Q43</f>
        <v>-10</v>
      </c>
      <c r="R43" s="795" t="s">
        <v>99</v>
      </c>
      <c r="S43" s="1068"/>
      <c r="T43" s="797" t="s">
        <v>99</v>
      </c>
      <c r="U43" s="787"/>
      <c r="V43" s="844" t="str">
        <f>'ACAT-16'!V43</f>
        <v/>
      </c>
      <c r="W43" s="159"/>
      <c r="X43" s="846" t="str">
        <f>'ACAT-16'!X43</f>
        <v/>
      </c>
      <c r="Y43" s="159"/>
      <c r="Z43" s="791"/>
      <c r="AA43" s="812"/>
      <c r="AB43" s="864"/>
      <c r="AC43" s="793"/>
      <c r="AD43" s="137"/>
      <c r="AE43" s="829"/>
      <c r="AF43" s="840"/>
      <c r="AG43" s="840"/>
      <c r="AH43" s="841"/>
      <c r="AI43" s="840"/>
      <c r="AJ43" s="840"/>
      <c r="AK43" s="830"/>
      <c r="AL43" s="840"/>
      <c r="AM43" s="840"/>
      <c r="AN43" s="840"/>
      <c r="AO43" s="138"/>
      <c r="AP43" s="724"/>
      <c r="AQ43" s="137"/>
    </row>
    <row r="44" spans="1:43" x14ac:dyDescent="0.3">
      <c r="A44" s="137"/>
      <c r="B44" s="874"/>
      <c r="C44" s="219" t="s">
        <v>202</v>
      </c>
      <c r="D44" s="220" t="s">
        <v>64</v>
      </c>
      <c r="E44" s="184" t="s">
        <v>53</v>
      </c>
      <c r="F44" s="151">
        <f>'ACAT-16'!F44</f>
        <v>3</v>
      </c>
      <c r="G44" s="151" t="str">
        <f>'ACAT-16'!G44</f>
        <v>m</v>
      </c>
      <c r="H44" s="237" t="s">
        <v>223</v>
      </c>
      <c r="I44" s="158"/>
      <c r="J44" s="158"/>
      <c r="K44" s="158"/>
      <c r="L44" s="820" t="s">
        <v>199</v>
      </c>
      <c r="M44" s="878">
        <f ca="1">AF15</f>
        <v>5</v>
      </c>
      <c r="N44" s="879">
        <f ca="1">AG15</f>
        <v>2.5</v>
      </c>
      <c r="O44" s="768">
        <v>1</v>
      </c>
      <c r="P44" s="784">
        <f ca="1">'ACAT-16'!P44</f>
        <v>-0.8</v>
      </c>
      <c r="Q44" s="796">
        <f ca="1">'ACAT-16'!Q44</f>
        <v>3</v>
      </c>
      <c r="R44" s="820" t="s">
        <v>199</v>
      </c>
      <c r="S44" s="1068"/>
      <c r="T44" s="797" t="s">
        <v>199</v>
      </c>
      <c r="U44" s="787"/>
      <c r="V44" s="835" t="str">
        <f ca="1">'ACAT-16'!V44</f>
        <v/>
      </c>
      <c r="W44" s="159"/>
      <c r="X44" s="836">
        <f ca="1">'ACAT-16'!X44</f>
        <v>30</v>
      </c>
      <c r="Y44" s="859">
        <f ca="1">'ACAT-16'!Y44</f>
        <v>30</v>
      </c>
      <c r="Z44" s="824" t="str">
        <f ca="1">'ACAT-16'!Z44</f>
        <v/>
      </c>
      <c r="AA44" s="837">
        <f ca="1">'ACAT-16'!AA44</f>
        <v>30</v>
      </c>
      <c r="AB44" s="838">
        <f ca="1">'ACAT-16'!AB44</f>
        <v>0</v>
      </c>
      <c r="AC44" s="825" t="s">
        <v>199</v>
      </c>
      <c r="AD44" s="137"/>
      <c r="AE44" s="829"/>
      <c r="AF44" s="840"/>
      <c r="AG44" s="852"/>
      <c r="AH44" s="852"/>
      <c r="AI44" s="852"/>
      <c r="AJ44" s="852"/>
      <c r="AK44" s="841"/>
      <c r="AL44" s="841"/>
      <c r="AM44" s="840"/>
      <c r="AN44" s="138"/>
      <c r="AO44" s="138"/>
      <c r="AP44" s="724"/>
      <c r="AQ44" s="137"/>
    </row>
    <row r="45" spans="1:43" x14ac:dyDescent="0.3">
      <c r="A45" s="137"/>
      <c r="B45" s="874"/>
      <c r="C45" s="196" t="s">
        <v>128</v>
      </c>
      <c r="D45" s="221" t="s">
        <v>64</v>
      </c>
      <c r="E45" s="159" t="s">
        <v>32</v>
      </c>
      <c r="F45" s="151">
        <f>'ACAT-16'!F45</f>
        <v>4</v>
      </c>
      <c r="G45" s="244"/>
      <c r="H45" s="218"/>
      <c r="I45" s="158"/>
      <c r="J45" s="158"/>
      <c r="K45" s="158"/>
      <c r="L45" s="820" t="s">
        <v>200</v>
      </c>
      <c r="M45" s="878">
        <f ca="1">AF16</f>
        <v>7</v>
      </c>
      <c r="N45" s="879">
        <f ca="1">AG16</f>
        <v>2.5</v>
      </c>
      <c r="O45" s="768">
        <v>1</v>
      </c>
      <c r="P45" s="784">
        <f ca="1">'ACAT-16'!P45</f>
        <v>-1.2</v>
      </c>
      <c r="Q45" s="796">
        <f ca="1">'ACAT-16'!Q45</f>
        <v>2</v>
      </c>
      <c r="R45" s="820" t="s">
        <v>200</v>
      </c>
      <c r="S45" s="1068"/>
      <c r="T45" s="797" t="s">
        <v>200</v>
      </c>
      <c r="U45" s="787"/>
      <c r="V45" s="822"/>
      <c r="W45" s="159"/>
      <c r="X45" s="811"/>
      <c r="Y45" s="859">
        <f ca="1">'ACAT-16'!Y45</f>
        <v>20</v>
      </c>
      <c r="Z45" s="824" t="str">
        <f ca="1">'ACAT-16'!Z45</f>
        <v/>
      </c>
      <c r="AA45" s="812">
        <f ca="1">'ACAT-16'!AA45</f>
        <v>20</v>
      </c>
      <c r="AB45" s="864"/>
      <c r="AC45" s="825" t="s">
        <v>200</v>
      </c>
      <c r="AD45" s="137"/>
      <c r="AE45" s="723"/>
      <c r="AF45" s="138"/>
      <c r="AG45" s="880"/>
      <c r="AH45" s="841"/>
      <c r="AI45" s="841"/>
      <c r="AJ45" s="841"/>
      <c r="AK45" s="841"/>
      <c r="AL45" s="139"/>
      <c r="AM45" s="138"/>
      <c r="AN45" s="138"/>
      <c r="AO45" s="138"/>
      <c r="AP45" s="724"/>
      <c r="AQ45" s="137"/>
    </row>
    <row r="46" spans="1:43" ht="15" thickBot="1" x14ac:dyDescent="0.35">
      <c r="A46" s="137"/>
      <c r="B46" s="874"/>
      <c r="C46" s="222" t="s">
        <v>128</v>
      </c>
      <c r="D46" s="223" t="s">
        <v>64</v>
      </c>
      <c r="E46" s="224" t="s">
        <v>34</v>
      </c>
      <c r="F46" s="151">
        <f>'ACAT-16'!F46</f>
        <v>4</v>
      </c>
      <c r="G46" s="245"/>
      <c r="H46" s="218"/>
      <c r="I46" s="1073" t="s">
        <v>153</v>
      </c>
      <c r="J46" s="1073"/>
      <c r="K46" s="158"/>
      <c r="L46" s="820" t="s">
        <v>200</v>
      </c>
      <c r="M46" s="878">
        <f ca="1">AF16</f>
        <v>7</v>
      </c>
      <c r="N46" s="879">
        <f ca="1">AG16</f>
        <v>2.5</v>
      </c>
      <c r="O46" s="768">
        <v>1</v>
      </c>
      <c r="P46" s="784">
        <f ca="1">'ACAT-16'!P46</f>
        <v>-1.2</v>
      </c>
      <c r="Q46" s="796">
        <f ca="1">'ACAT-16'!Q46</f>
        <v>2</v>
      </c>
      <c r="R46" s="820" t="s">
        <v>200</v>
      </c>
      <c r="S46" s="1068"/>
      <c r="T46" s="797" t="s">
        <v>200</v>
      </c>
      <c r="U46" s="787"/>
      <c r="V46" s="822"/>
      <c r="W46" s="159"/>
      <c r="X46" s="811"/>
      <c r="Y46" s="859">
        <f ca="1">'ACAT-16'!Y46</f>
        <v>20</v>
      </c>
      <c r="Z46" s="824" t="str">
        <f ca="1">'ACAT-16'!Z46</f>
        <v/>
      </c>
      <c r="AA46" s="812">
        <f ca="1">'ACAT-16'!AA46</f>
        <v>20</v>
      </c>
      <c r="AB46" s="864"/>
      <c r="AC46" s="825" t="s">
        <v>200</v>
      </c>
      <c r="AD46" s="137"/>
      <c r="AE46" s="881"/>
      <c r="AF46" s="882"/>
      <c r="AG46" s="882"/>
      <c r="AH46" s="883"/>
      <c r="AI46" s="883"/>
      <c r="AJ46" s="883"/>
      <c r="AK46" s="883"/>
      <c r="AL46" s="882"/>
      <c r="AM46" s="882"/>
      <c r="AN46" s="882"/>
      <c r="AO46" s="882"/>
      <c r="AP46" s="884"/>
      <c r="AQ46" s="137"/>
    </row>
    <row r="47" spans="1:43" ht="15" thickTop="1" x14ac:dyDescent="0.3">
      <c r="A47" s="137"/>
      <c r="B47" s="874"/>
      <c r="C47" s="225" t="s">
        <v>93</v>
      </c>
      <c r="D47" s="214" t="s">
        <v>58</v>
      </c>
      <c r="E47" s="215" t="s">
        <v>53</v>
      </c>
      <c r="F47" s="151">
        <f>'ACAT-16'!F47</f>
        <v>7</v>
      </c>
      <c r="G47" s="183"/>
      <c r="H47" s="234" t="s">
        <v>152</v>
      </c>
      <c r="I47" s="235" t="s">
        <v>221</v>
      </c>
      <c r="J47" s="226" t="s">
        <v>17</v>
      </c>
      <c r="K47" s="178"/>
      <c r="L47" s="749" t="s">
        <v>57</v>
      </c>
      <c r="M47" s="139">
        <v>6.4</v>
      </c>
      <c r="N47" s="767">
        <v>1.8</v>
      </c>
      <c r="O47" s="768">
        <v>1</v>
      </c>
      <c r="P47" s="784">
        <f>'ACAT-16'!P47</f>
        <v>0.33333333333333315</v>
      </c>
      <c r="Q47" s="796">
        <f>'ACAT-16'!Q47</f>
        <v>3</v>
      </c>
      <c r="R47" s="749" t="s">
        <v>57</v>
      </c>
      <c r="S47" s="1068"/>
      <c r="T47" s="797" t="s">
        <v>57</v>
      </c>
      <c r="U47" s="787"/>
      <c r="V47" s="835">
        <f>'ACAT-16'!V47</f>
        <v>30</v>
      </c>
      <c r="W47" s="159"/>
      <c r="X47" s="811"/>
      <c r="Y47" s="159"/>
      <c r="Z47" s="791"/>
      <c r="AA47" s="812"/>
      <c r="AB47" s="864"/>
      <c r="AC47" s="793"/>
      <c r="AD47" s="137"/>
      <c r="AE47" s="137"/>
      <c r="AF47" s="137"/>
      <c r="AG47" s="137"/>
      <c r="AH47" s="830"/>
      <c r="AI47" s="830"/>
      <c r="AJ47" s="830"/>
      <c r="AK47" s="830"/>
      <c r="AL47" s="137"/>
      <c r="AM47" s="137"/>
      <c r="AN47" s="137"/>
      <c r="AO47" s="137"/>
      <c r="AP47" s="137"/>
      <c r="AQ47" s="137"/>
    </row>
    <row r="48" spans="1:43" x14ac:dyDescent="0.3">
      <c r="A48" s="137"/>
      <c r="B48" s="874"/>
      <c r="C48" s="1071" t="s">
        <v>59</v>
      </c>
      <c r="D48" s="213" t="s">
        <v>58</v>
      </c>
      <c r="E48" s="227" t="s">
        <v>53</v>
      </c>
      <c r="F48" s="151">
        <f>'ACAT-16'!F48</f>
        <v>8</v>
      </c>
      <c r="G48" s="228">
        <f>'ACAT-16'!G48</f>
        <v>12.5</v>
      </c>
      <c r="H48" s="229">
        <f ca="1">'ACAT-16'!H48</f>
        <v>12.5</v>
      </c>
      <c r="I48" s="178">
        <f ca="1">'ACAT-16'!I48</f>
        <v>15.5</v>
      </c>
      <c r="J48" s="230">
        <f ca="1">'ACAT-16'!J48</f>
        <v>21</v>
      </c>
      <c r="K48" s="178"/>
      <c r="L48" s="885" t="s">
        <v>204</v>
      </c>
      <c r="M48" s="145">
        <f ca="1">18.5-(0.3*IF((E9&lt;54),E9,54))</f>
        <v>15.5</v>
      </c>
      <c r="N48" s="806">
        <v>2</v>
      </c>
      <c r="O48" s="768">
        <v>1</v>
      </c>
      <c r="P48" s="784">
        <f ca="1">'ACAT-16'!P48</f>
        <v>-1.5</v>
      </c>
      <c r="Q48" s="796">
        <f ca="1">'ACAT-16'!Q48</f>
        <v>2</v>
      </c>
      <c r="R48" s="885" t="s">
        <v>204</v>
      </c>
      <c r="S48" s="1068"/>
      <c r="T48" s="797" t="s">
        <v>123</v>
      </c>
      <c r="U48" s="787"/>
      <c r="V48" s="822"/>
      <c r="W48" s="159"/>
      <c r="X48" s="811"/>
      <c r="Y48" s="859">
        <f ca="1">'ACAT-16'!Y48</f>
        <v>20</v>
      </c>
      <c r="Z48" s="824" t="str">
        <f ca="1">'ACAT-16'!Z48</f>
        <v/>
      </c>
      <c r="AA48" s="837">
        <f ca="1">'ACAT-16'!AA48</f>
        <v>20</v>
      </c>
      <c r="AB48" s="838">
        <f ca="1">'ACAT-16'!AB48</f>
        <v>0</v>
      </c>
      <c r="AC48" s="825" t="s">
        <v>204</v>
      </c>
      <c r="AD48" s="137"/>
      <c r="AE48" s="137" t="s">
        <v>188</v>
      </c>
      <c r="AF48" s="886" t="b">
        <f ca="1">'ACAT-16'!AF48</f>
        <v>1</v>
      </c>
      <c r="AG48" s="224" t="b">
        <f ca="1">'ACAT-16'!AG48</f>
        <v>1</v>
      </c>
      <c r="AH48" s="1054" t="b">
        <f>'ACAT-16'!AH48</f>
        <v>1</v>
      </c>
      <c r="AI48" s="1054">
        <f>'ACAT-16'!AI48</f>
        <v>0</v>
      </c>
      <c r="AJ48" s="1054">
        <f>'ACAT-16'!AJ48</f>
        <v>0</v>
      </c>
      <c r="AK48" s="830">
        <f>'ACAT-16'!AK48</f>
        <v>0</v>
      </c>
      <c r="AL48" s="224" t="b">
        <f>'ACAT-16'!AL48</f>
        <v>1</v>
      </c>
      <c r="AM48" s="215" t="b">
        <f>'ACAT-16'!AM48</f>
        <v>1</v>
      </c>
      <c r="AN48" s="224" t="b">
        <f ca="1">'ACAT-16'!AN48</f>
        <v>1</v>
      </c>
      <c r="AO48" s="137"/>
      <c r="AP48" s="137"/>
      <c r="AQ48" s="137"/>
    </row>
    <row r="49" spans="1:43" x14ac:dyDescent="0.3">
      <c r="A49" s="137"/>
      <c r="B49" s="874"/>
      <c r="C49" s="1074"/>
      <c r="D49" s="145" t="s">
        <v>58</v>
      </c>
      <c r="E49" s="145" t="s">
        <v>32</v>
      </c>
      <c r="F49" s="151">
        <f>'ACAT-16'!F49</f>
        <v>8</v>
      </c>
      <c r="G49" s="228">
        <f>'ACAT-16'!G49</f>
        <v>12.5</v>
      </c>
      <c r="H49" s="229">
        <f ca="1">'ACAT-16'!H49</f>
        <v>12.5</v>
      </c>
      <c r="I49" s="178">
        <f ca="1">'ACAT-16'!I49</f>
        <v>15.5</v>
      </c>
      <c r="J49" s="230">
        <f ca="1">'ACAT-16'!J49</f>
        <v>21</v>
      </c>
      <c r="K49" s="178"/>
      <c r="L49" s="885" t="s">
        <v>205</v>
      </c>
      <c r="M49" s="145">
        <f ca="1">18.5-(0.3*IF((E9&lt;54),E9,54))</f>
        <v>15.5</v>
      </c>
      <c r="N49" s="806">
        <v>2</v>
      </c>
      <c r="O49" s="768">
        <v>1</v>
      </c>
      <c r="P49" s="784">
        <f ca="1">'ACAT-16'!P49</f>
        <v>-1.5</v>
      </c>
      <c r="Q49" s="796">
        <f ca="1">'ACAT-16'!Q49</f>
        <v>2</v>
      </c>
      <c r="R49" s="885" t="s">
        <v>205</v>
      </c>
      <c r="S49" s="1068"/>
      <c r="T49" s="196" t="s">
        <v>124</v>
      </c>
      <c r="U49" s="787"/>
      <c r="V49" s="822"/>
      <c r="W49" s="159"/>
      <c r="X49" s="811"/>
      <c r="Y49" s="859">
        <f ca="1">'ACAT-16'!Y49</f>
        <v>20</v>
      </c>
      <c r="Z49" s="824" t="str">
        <f ca="1">'ACAT-16'!Z49</f>
        <v/>
      </c>
      <c r="AA49" s="812">
        <f ca="1">IF(Q49&lt;0," ",Q49*10)</f>
        <v>20</v>
      </c>
      <c r="AB49" s="864"/>
      <c r="AC49" s="825" t="s">
        <v>205</v>
      </c>
      <c r="AD49" s="137"/>
      <c r="AE49" s="137"/>
      <c r="AF49" s="887"/>
      <c r="AG49" s="888" t="s">
        <v>225</v>
      </c>
      <c r="AH49" s="889" t="s">
        <v>226</v>
      </c>
      <c r="AI49" s="890" t="s">
        <v>227</v>
      </c>
      <c r="AJ49" s="891" t="s">
        <v>228</v>
      </c>
      <c r="AK49" s="891" t="s">
        <v>229</v>
      </c>
      <c r="AL49" s="888" t="s">
        <v>230</v>
      </c>
      <c r="AM49" s="892" t="s">
        <v>231</v>
      </c>
      <c r="AN49" s="888" t="s">
        <v>232</v>
      </c>
      <c r="AO49" s="137"/>
      <c r="AP49" s="137"/>
      <c r="AQ49" s="137"/>
    </row>
    <row r="50" spans="1:43" x14ac:dyDescent="0.3">
      <c r="A50" s="137"/>
      <c r="B50" s="874"/>
      <c r="C50" s="1072"/>
      <c r="D50" s="215" t="s">
        <v>58</v>
      </c>
      <c r="E50" s="215" t="s">
        <v>34</v>
      </c>
      <c r="F50" s="151">
        <f>'ACAT-16'!F50</f>
        <v>8</v>
      </c>
      <c r="G50" s="228">
        <f>'ACAT-16'!G50</f>
        <v>12.5</v>
      </c>
      <c r="H50" s="231">
        <f ca="1">'ACAT-16'!H50</f>
        <v>12.5</v>
      </c>
      <c r="I50" s="236">
        <f ca="1">'ACAT-16'!I50</f>
        <v>15.5</v>
      </c>
      <c r="J50" s="232">
        <f ca="1">'ACAT-16'!J50</f>
        <v>21</v>
      </c>
      <c r="K50" s="178"/>
      <c r="L50" s="885" t="s">
        <v>205</v>
      </c>
      <c r="M50" s="145">
        <f ca="1">18.5-(0.3*IF((E9&lt;54),E9,54))</f>
        <v>15.5</v>
      </c>
      <c r="N50" s="806">
        <v>2</v>
      </c>
      <c r="O50" s="768">
        <v>1</v>
      </c>
      <c r="P50" s="784">
        <f ca="1">'ACAT-16'!P50</f>
        <v>-1.5</v>
      </c>
      <c r="Q50" s="796">
        <f ca="1">'ACAT-16'!Q50</f>
        <v>2</v>
      </c>
      <c r="R50" s="885" t="s">
        <v>205</v>
      </c>
      <c r="S50" s="1068"/>
      <c r="T50" s="196" t="s">
        <v>125</v>
      </c>
      <c r="U50" s="787"/>
      <c r="V50" s="822"/>
      <c r="W50" s="159"/>
      <c r="X50" s="811"/>
      <c r="Y50" s="859">
        <f ca="1">'ACAT-16'!Y50</f>
        <v>20</v>
      </c>
      <c r="Z50" s="824" t="str">
        <f ca="1">'ACAT-16'!Z50</f>
        <v/>
      </c>
      <c r="AA50" s="812">
        <f ca="1">'ACAT-16'!AA50</f>
        <v>20</v>
      </c>
      <c r="AB50" s="864"/>
      <c r="AC50" s="825" t="s">
        <v>205</v>
      </c>
      <c r="AD50" s="137"/>
      <c r="AE50" s="137"/>
      <c r="AF50" s="893"/>
      <c r="AG50" s="894" t="s">
        <v>110</v>
      </c>
      <c r="AH50" s="895" t="s">
        <v>60</v>
      </c>
      <c r="AI50" s="896" t="s">
        <v>60</v>
      </c>
      <c r="AJ50" s="897" t="s">
        <v>52</v>
      </c>
      <c r="AK50" s="897" t="s">
        <v>52</v>
      </c>
      <c r="AL50" s="894" t="s">
        <v>101</v>
      </c>
      <c r="AM50" s="898" t="s">
        <v>102</v>
      </c>
      <c r="AN50" s="894" t="s">
        <v>111</v>
      </c>
      <c r="AO50" s="137"/>
      <c r="AP50" s="137"/>
      <c r="AQ50" s="137"/>
    </row>
    <row r="51" spans="1:43" x14ac:dyDescent="0.3">
      <c r="A51" s="137"/>
      <c r="B51" s="723"/>
      <c r="C51" s="142"/>
      <c r="D51" s="139"/>
      <c r="E51" s="139"/>
      <c r="F51" s="138"/>
      <c r="G51" s="138"/>
      <c r="H51" s="138"/>
      <c r="I51" s="138"/>
      <c r="J51" s="138"/>
      <c r="K51" s="138"/>
      <c r="L51" s="138"/>
      <c r="M51" s="138"/>
      <c r="N51" s="724"/>
      <c r="O51" s="899"/>
      <c r="P51" s="715">
        <f>'ACAT-16'!P51</f>
        <v>0</v>
      </c>
      <c r="Q51" s="769">
        <f>'ACAT-16'!Q51</f>
        <v>0</v>
      </c>
      <c r="R51" s="716"/>
      <c r="S51" s="749"/>
      <c r="T51" s="219"/>
      <c r="U51" s="816"/>
      <c r="V51" s="900"/>
      <c r="W51" s="184"/>
      <c r="X51" s="901"/>
      <c r="Y51" s="159"/>
      <c r="Z51" s="791"/>
      <c r="AA51" s="812"/>
      <c r="AB51" s="145"/>
      <c r="AC51" s="793"/>
      <c r="AD51" s="137"/>
      <c r="AE51" s="137"/>
      <c r="AF51" s="902"/>
      <c r="AG51" s="894">
        <f ca="1">'ACAT-16'!AG51</f>
        <v>20</v>
      </c>
      <c r="AH51" s="895">
        <f>'ACAT-16'!AH51</f>
        <v>0</v>
      </c>
      <c r="AI51" s="896">
        <f>'ACAT-16'!AI51</f>
        <v>0</v>
      </c>
      <c r="AJ51" s="897" t="str">
        <f>'ACAT-16'!AJ51</f>
        <v xml:space="preserve"> </v>
      </c>
      <c r="AK51" s="897" t="str">
        <f>'ACAT-16'!AK51</f>
        <v xml:space="preserve"> </v>
      </c>
      <c r="AL51" s="894">
        <f>'ACAT-16'!AL51</f>
        <v>20</v>
      </c>
      <c r="AM51" s="898">
        <f>'ACAT-16'!AM51</f>
        <v>20</v>
      </c>
      <c r="AN51" s="894">
        <f ca="1">'ACAT-16'!AN51</f>
        <v>30</v>
      </c>
      <c r="AO51" s="137"/>
      <c r="AP51" s="137"/>
      <c r="AQ51" s="137"/>
    </row>
    <row r="52" spans="1:43" ht="15" thickBot="1" x14ac:dyDescent="0.35">
      <c r="A52" s="137"/>
      <c r="B52" s="723"/>
      <c r="C52" s="1055" t="s">
        <v>65</v>
      </c>
      <c r="D52" s="1055"/>
      <c r="E52" s="139"/>
      <c r="F52" s="1055" t="s">
        <v>66</v>
      </c>
      <c r="G52" s="1055"/>
      <c r="H52" s="154"/>
      <c r="I52" s="138"/>
      <c r="J52" s="137"/>
      <c r="K52" s="137"/>
      <c r="L52" s="138"/>
      <c r="M52" s="138"/>
      <c r="N52" s="724"/>
      <c r="O52" s="899"/>
      <c r="P52" s="715">
        <f>'ACAT-16'!P52</f>
        <v>0</v>
      </c>
      <c r="Q52" s="769">
        <f>'ACAT-16'!Q52</f>
        <v>0</v>
      </c>
      <c r="R52" s="716"/>
      <c r="S52" s="137"/>
      <c r="T52" s="196"/>
      <c r="U52" s="787"/>
      <c r="V52" s="750"/>
      <c r="W52" s="787"/>
      <c r="X52" s="748"/>
      <c r="Y52" s="159"/>
      <c r="Z52" s="811"/>
      <c r="AA52" s="812"/>
      <c r="AB52" s="145"/>
      <c r="AC52" s="793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</row>
    <row r="53" spans="1:43" ht="15" thickBot="1" x14ac:dyDescent="0.35">
      <c r="A53" s="137"/>
      <c r="B53" s="723"/>
      <c r="C53" s="903" t="s">
        <v>67</v>
      </c>
      <c r="D53" s="904">
        <f>'ACAT-16'!D53</f>
        <v>12.5</v>
      </c>
      <c r="E53" s="139"/>
      <c r="F53" s="903" t="s">
        <v>68</v>
      </c>
      <c r="G53" s="149">
        <f>'ACAT-16'!G53</f>
        <v>11.6</v>
      </c>
      <c r="H53" s="149" t="str">
        <f>'ACAT-16'!H53</f>
        <v>High</v>
      </c>
      <c r="I53" s="138"/>
      <c r="J53" s="137"/>
      <c r="K53" s="137"/>
      <c r="L53" s="905" t="s">
        <v>69</v>
      </c>
      <c r="M53" s="145">
        <v>4.5</v>
      </c>
      <c r="N53" s="906">
        <v>1.5</v>
      </c>
      <c r="O53" s="907">
        <v>3</v>
      </c>
      <c r="P53" s="784">
        <f>'ACAT-16'!P53</f>
        <v>4.7333333333333334</v>
      </c>
      <c r="Q53" s="769">
        <f>'ACAT-16'!Q53</f>
        <v>6</v>
      </c>
      <c r="R53" s="716"/>
      <c r="S53" s="715"/>
      <c r="T53" s="787"/>
      <c r="U53" s="787"/>
      <c r="V53" s="750"/>
      <c r="W53" s="787"/>
      <c r="X53" s="748"/>
      <c r="Y53" s="159"/>
      <c r="Z53" s="811"/>
      <c r="AA53" s="812"/>
      <c r="AB53" s="145"/>
      <c r="AC53" s="793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</row>
    <row r="54" spans="1:43" x14ac:dyDescent="0.3">
      <c r="A54" s="137"/>
      <c r="B54" s="723"/>
      <c r="C54" s="903" t="s">
        <v>70</v>
      </c>
      <c r="D54" s="149">
        <f ca="1">'ACAT-16'!D54</f>
        <v>12.5</v>
      </c>
      <c r="E54" s="139"/>
      <c r="F54" s="908" t="s">
        <v>245</v>
      </c>
      <c r="G54" s="149" t="str">
        <f>'ACAT-16'!G54</f>
        <v>EXO</v>
      </c>
      <c r="H54" s="909">
        <f>'ACAT-16'!H54</f>
        <v>0</v>
      </c>
      <c r="I54" s="138"/>
      <c r="J54" s="137"/>
      <c r="K54" s="137"/>
      <c r="L54" s="138"/>
      <c r="M54" s="138"/>
      <c r="N54" s="724"/>
      <c r="O54" s="138"/>
      <c r="P54" s="137"/>
      <c r="Q54" s="137"/>
      <c r="R54" s="716"/>
      <c r="S54" s="137"/>
      <c r="T54" s="222"/>
      <c r="U54" s="910"/>
      <c r="V54" s="757"/>
      <c r="W54" s="910"/>
      <c r="X54" s="754"/>
      <c r="Y54" s="224"/>
      <c r="Z54" s="886"/>
      <c r="AA54" s="812"/>
      <c r="AB54" s="145"/>
      <c r="AC54" s="793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</row>
    <row r="55" spans="1:43" x14ac:dyDescent="0.3">
      <c r="A55" s="137"/>
      <c r="B55" s="723"/>
      <c r="C55" s="911"/>
      <c r="D55" s="161"/>
      <c r="E55" s="139"/>
      <c r="F55" s="908" t="s">
        <v>246</v>
      </c>
      <c r="G55" s="149" t="str">
        <f>'ACAT-16'!G55</f>
        <v>Normal</v>
      </c>
      <c r="H55" s="909">
        <f>'ACAT-16'!H55</f>
        <v>3</v>
      </c>
      <c r="I55" s="138"/>
      <c r="J55" s="138"/>
      <c r="K55" s="138"/>
      <c r="L55" s="138"/>
      <c r="M55" s="138"/>
      <c r="N55" s="724"/>
      <c r="O55" s="138"/>
      <c r="P55" s="137"/>
      <c r="Q55" s="137"/>
      <c r="R55" s="716"/>
      <c r="S55" s="137"/>
      <c r="T55" s="219" t="s">
        <v>127</v>
      </c>
      <c r="U55" s="912">
        <f>'ACAT-16'!U55</f>
        <v>2</v>
      </c>
      <c r="V55" s="912">
        <f>'ACAT-16'!V55</f>
        <v>2</v>
      </c>
      <c r="W55" s="913">
        <f>'ACAT-16'!W55</f>
        <v>2</v>
      </c>
      <c r="X55" s="914">
        <f>'ACAT-16'!X55</f>
        <v>3</v>
      </c>
      <c r="Y55" s="915">
        <f ca="1">'ACAT-16'!Y55</f>
        <v>9</v>
      </c>
      <c r="Z55" s="916">
        <f ca="1">'ACAT-16'!Z55</f>
        <v>1</v>
      </c>
      <c r="AA55" s="917">
        <f ca="1">'ACAT-16'!AA55</f>
        <v>10</v>
      </c>
      <c r="AB55" s="918">
        <f ca="1">'ACAT-16'!AB55</f>
        <v>2</v>
      </c>
      <c r="AC55" s="793"/>
      <c r="AD55" s="137"/>
      <c r="AE55" s="137" t="s">
        <v>151</v>
      </c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</row>
    <row r="56" spans="1:43" x14ac:dyDescent="0.3">
      <c r="A56" s="137"/>
      <c r="B56" s="723"/>
      <c r="C56" s="142"/>
      <c r="D56" s="139"/>
      <c r="E56" s="139"/>
      <c r="F56" s="138"/>
      <c r="G56" s="138"/>
      <c r="H56" s="138"/>
      <c r="I56" s="138"/>
      <c r="J56" s="139"/>
      <c r="K56" s="139"/>
      <c r="L56" s="139"/>
      <c r="M56" s="139"/>
      <c r="N56" s="724"/>
      <c r="O56" s="715"/>
      <c r="P56" s="715"/>
      <c r="Q56" s="715"/>
      <c r="R56" s="919"/>
      <c r="S56" s="715"/>
      <c r="T56" s="222" t="s">
        <v>126</v>
      </c>
      <c r="U56" s="224"/>
      <c r="V56" s="920">
        <f ca="1">'ACAT-16'!V56</f>
        <v>2</v>
      </c>
      <c r="W56" s="224"/>
      <c r="X56" s="921">
        <f ca="1">'ACAT-16'!X56</f>
        <v>4</v>
      </c>
      <c r="Y56" s="137"/>
      <c r="Z56" s="137"/>
      <c r="AA56" s="922"/>
      <c r="AB56" s="923"/>
      <c r="AC56" s="793"/>
      <c r="AD56" s="137"/>
      <c r="AE56" s="137" t="s">
        <v>155</v>
      </c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</row>
    <row r="57" spans="1:43" ht="15" thickBot="1" x14ac:dyDescent="0.35">
      <c r="A57" s="137"/>
      <c r="B57" s="723"/>
      <c r="C57" s="142"/>
      <c r="D57" s="139"/>
      <c r="E57" s="139"/>
      <c r="F57" s="924"/>
      <c r="G57" s="925"/>
      <c r="H57" s="138"/>
      <c r="I57" s="138"/>
      <c r="J57" s="139"/>
      <c r="K57" s="142"/>
      <c r="L57" s="926"/>
      <c r="M57" s="137"/>
      <c r="N57" s="724"/>
      <c r="O57" s="811"/>
      <c r="P57" s="145"/>
      <c r="Q57" s="137"/>
      <c r="R57" s="716"/>
      <c r="S57" s="137"/>
      <c r="T57" s="927" t="s">
        <v>135</v>
      </c>
      <c r="U57" s="928">
        <f>'ACAT-16'!U57</f>
        <v>30</v>
      </c>
      <c r="V57" s="928">
        <f>'ACAT-16'!V57</f>
        <v>30</v>
      </c>
      <c r="W57" s="929">
        <f>'ACAT-16'!W57</f>
        <v>30</v>
      </c>
      <c r="X57" s="930">
        <f>'ACAT-16'!X57</f>
        <v>26.666666666666668</v>
      </c>
      <c r="Y57" s="137"/>
      <c r="Z57" s="137"/>
      <c r="AA57" s="931"/>
      <c r="AB57" s="932"/>
      <c r="AC57" s="793"/>
      <c r="AD57" s="137"/>
      <c r="AE57" s="137" t="s">
        <v>156</v>
      </c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</row>
    <row r="58" spans="1:43" ht="15" thickTop="1" x14ac:dyDescent="0.3">
      <c r="A58" s="137"/>
      <c r="B58" s="723"/>
      <c r="C58" s="933" t="s">
        <v>0</v>
      </c>
      <c r="D58" s="934"/>
      <c r="E58" s="934"/>
      <c r="F58" s="934"/>
      <c r="G58" s="935"/>
      <c r="H58" s="137"/>
      <c r="I58" s="137"/>
      <c r="J58" s="138"/>
      <c r="K58" s="142"/>
      <c r="L58" s="936"/>
      <c r="M58" s="138"/>
      <c r="N58" s="724"/>
      <c r="O58" s="937"/>
      <c r="P58" s="937"/>
      <c r="Q58" s="137"/>
      <c r="R58" s="716"/>
      <c r="S58" s="137"/>
      <c r="T58" s="938" t="s">
        <v>136</v>
      </c>
      <c r="U58" s="159"/>
      <c r="V58" s="939">
        <f ca="1">'ACAT-16'!V58</f>
        <v>25</v>
      </c>
      <c r="W58" s="159"/>
      <c r="X58" s="940">
        <f ca="1">'ACAT-16'!X58</f>
        <v>12.5</v>
      </c>
      <c r="Y58" s="137"/>
      <c r="Z58" s="137"/>
      <c r="AA58" s="922"/>
      <c r="AB58" s="941"/>
      <c r="AC58" s="793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</row>
    <row r="59" spans="1:43" x14ac:dyDescent="0.3">
      <c r="A59" s="137"/>
      <c r="B59" s="723"/>
      <c r="C59" s="1056" t="str">
        <f ca="1">'ACAT-16'!C59</f>
        <v xml:space="preserve">DE </v>
      </c>
      <c r="D59" s="1057">
        <f>'ACAT-16'!D59</f>
        <v>0</v>
      </c>
      <c r="E59" s="1057">
        <f>'ACAT-16'!E59</f>
        <v>0</v>
      </c>
      <c r="F59" s="1057">
        <f>'ACAT-16'!F59</f>
        <v>0</v>
      </c>
      <c r="G59" s="1058">
        <f>'ACAT-16'!G59</f>
        <v>0</v>
      </c>
      <c r="H59" s="137"/>
      <c r="I59" s="137"/>
      <c r="J59" s="138"/>
      <c r="K59" s="142"/>
      <c r="L59" s="924"/>
      <c r="M59" s="924"/>
      <c r="N59" s="724"/>
      <c r="O59" s="942"/>
      <c r="P59" s="137"/>
      <c r="Q59" s="137"/>
      <c r="R59" s="716"/>
      <c r="S59" s="749"/>
      <c r="T59" s="943" t="s">
        <v>134</v>
      </c>
      <c r="U59" s="1062">
        <f ca="1">'ACAT-16'!U59</f>
        <v>28.333333333333332</v>
      </c>
      <c r="V59" s="1063">
        <f>'ACAT-16'!V59</f>
        <v>0</v>
      </c>
      <c r="W59" s="1062">
        <f ca="1">'ACAT-16'!W59</f>
        <v>23.055555555555557</v>
      </c>
      <c r="X59" s="1064">
        <f>'ACAT-16'!X59</f>
        <v>0</v>
      </c>
      <c r="Y59" s="944">
        <f ca="1">'ACAT-16'!Y59</f>
        <v>16.666666666666668</v>
      </c>
      <c r="Z59" s="945">
        <f ca="1">'ACAT-16'!Z59</f>
        <v>20</v>
      </c>
      <c r="AA59" s="946">
        <f ca="1">'ACAT-16'!AA59</f>
        <v>17</v>
      </c>
      <c r="AB59" s="947">
        <f ca="1">'ACAT-16'!AB59</f>
        <v>0</v>
      </c>
      <c r="AC59" s="793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</row>
    <row r="60" spans="1:43" ht="15" thickBot="1" x14ac:dyDescent="0.35">
      <c r="A60" s="137"/>
      <c r="B60" s="723"/>
      <c r="C60" s="1059">
        <f>'ACAT-16'!C60</f>
        <v>0</v>
      </c>
      <c r="D60" s="1060">
        <f>'ACAT-16'!D60</f>
        <v>0</v>
      </c>
      <c r="E60" s="1060">
        <f>'ACAT-16'!E60</f>
        <v>0</v>
      </c>
      <c r="F60" s="1060">
        <f>'ACAT-16'!F60</f>
        <v>0</v>
      </c>
      <c r="G60" s="1061">
        <f>'ACAT-16'!G60</f>
        <v>0</v>
      </c>
      <c r="H60" s="137"/>
      <c r="I60" s="137"/>
      <c r="J60" s="138"/>
      <c r="K60" s="138"/>
      <c r="L60" s="137"/>
      <c r="M60" s="137"/>
      <c r="N60" s="724"/>
      <c r="O60" s="948"/>
      <c r="P60" s="137"/>
      <c r="Q60" s="138"/>
      <c r="R60" s="749"/>
      <c r="S60" s="137"/>
      <c r="T60" s="949"/>
      <c r="U60" s="950"/>
      <c r="V60" s="137"/>
      <c r="W60" s="137"/>
      <c r="X60" s="137"/>
      <c r="Y60" s="137"/>
      <c r="Z60" s="143"/>
      <c r="AA60" s="1065"/>
      <c r="AB60" s="1065"/>
      <c r="AC60" s="749"/>
      <c r="AD60" s="137"/>
      <c r="AE60" s="137"/>
      <c r="AF60" s="137"/>
      <c r="AG60" s="137"/>
      <c r="AH60" s="137"/>
      <c r="AI60" s="137"/>
      <c r="AJ60" s="137"/>
      <c r="AK60" s="137"/>
      <c r="AL60" s="137"/>
      <c r="AM60" s="749"/>
      <c r="AN60" s="749"/>
      <c r="AO60" s="137"/>
      <c r="AP60" s="137"/>
      <c r="AQ60" s="137"/>
    </row>
    <row r="61" spans="1:43" ht="15" thickTop="1" x14ac:dyDescent="0.3">
      <c r="A61" s="137"/>
      <c r="B61" s="723"/>
      <c r="C61" s="137"/>
      <c r="D61" s="951"/>
      <c r="E61" s="715"/>
      <c r="F61" s="137"/>
      <c r="G61" s="137"/>
      <c r="H61" s="138"/>
      <c r="I61" s="138"/>
      <c r="J61" s="138"/>
      <c r="K61" s="138"/>
      <c r="L61" s="137"/>
      <c r="M61" s="137"/>
      <c r="N61" s="724"/>
      <c r="O61" s="137"/>
      <c r="P61" s="137"/>
      <c r="Q61" s="137"/>
      <c r="R61" s="716"/>
      <c r="S61" s="137"/>
      <c r="T61" s="137"/>
      <c r="U61" s="137"/>
      <c r="V61" s="137"/>
      <c r="W61" s="137"/>
      <c r="X61" s="138"/>
      <c r="Y61" s="138"/>
      <c r="Z61" s="137"/>
      <c r="AA61" s="137"/>
      <c r="AB61" s="137"/>
      <c r="AC61" s="138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</row>
    <row r="62" spans="1:43" ht="15" thickBot="1" x14ac:dyDescent="0.35">
      <c r="A62" s="137"/>
      <c r="B62" s="723"/>
      <c r="C62" s="137"/>
      <c r="D62" s="137"/>
      <c r="E62" s="715"/>
      <c r="F62" s="137"/>
      <c r="G62" s="138"/>
      <c r="H62" s="138"/>
      <c r="I62" s="138"/>
      <c r="J62" s="138"/>
      <c r="K62" s="138"/>
      <c r="L62" s="137"/>
      <c r="M62" s="137"/>
      <c r="N62" s="724"/>
      <c r="O62" s="715"/>
      <c r="P62" s="137"/>
      <c r="Q62" s="137"/>
      <c r="R62" s="716"/>
      <c r="S62" s="137"/>
      <c r="T62" s="137"/>
      <c r="U62" s="137"/>
      <c r="V62" s="137"/>
      <c r="W62" s="137"/>
      <c r="X62" s="139"/>
      <c r="Y62" s="139"/>
      <c r="Z62" s="137"/>
      <c r="AA62" s="137"/>
      <c r="AB62" s="137"/>
      <c r="AC62" s="138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</row>
    <row r="63" spans="1:43" ht="15.6" thickTop="1" thickBot="1" x14ac:dyDescent="0.35">
      <c r="A63" s="137"/>
      <c r="B63" s="723"/>
      <c r="C63" s="137"/>
      <c r="D63" s="137"/>
      <c r="E63" s="715"/>
      <c r="F63" s="137"/>
      <c r="G63" s="138"/>
      <c r="H63" s="138"/>
      <c r="I63" s="138"/>
      <c r="J63" s="138"/>
      <c r="K63" s="138"/>
      <c r="L63" s="138"/>
      <c r="M63" s="138"/>
      <c r="N63" s="724"/>
      <c r="O63" s="138"/>
      <c r="P63" s="137"/>
      <c r="Q63" s="137"/>
      <c r="R63" s="716"/>
      <c r="S63" s="137"/>
      <c r="T63" s="952" t="str">
        <f>'ACAT-16'!T63</f>
        <v>Diagnosestellung nach Scheimann+Wick</v>
      </c>
      <c r="U63" s="953"/>
      <c r="V63" s="953"/>
      <c r="W63" s="953"/>
      <c r="X63" s="954"/>
      <c r="Y63" s="139"/>
      <c r="Z63" s="137"/>
      <c r="AA63" s="955" t="s">
        <v>159</v>
      </c>
      <c r="AB63" s="956"/>
      <c r="AC63" s="1045" t="s">
        <v>195</v>
      </c>
      <c r="AD63" s="957" t="str">
        <f ca="1">'ACAT-16'!AD63</f>
        <v>False CI / Pseudo-CI</v>
      </c>
      <c r="AE63" s="958"/>
      <c r="AF63" s="959"/>
      <c r="AG63" s="137"/>
      <c r="AH63" s="960"/>
      <c r="AI63" s="961"/>
      <c r="AJ63" s="961"/>
      <c r="AK63" s="137"/>
      <c r="AL63" s="137"/>
      <c r="AM63" s="137"/>
      <c r="AN63" s="137"/>
      <c r="AO63" s="137"/>
      <c r="AP63" s="137"/>
      <c r="AQ63" s="137"/>
    </row>
    <row r="64" spans="1:43" ht="15" thickBot="1" x14ac:dyDescent="0.35">
      <c r="A64" s="137"/>
      <c r="B64" s="881"/>
      <c r="C64" s="882"/>
      <c r="D64" s="882"/>
      <c r="E64" s="962"/>
      <c r="F64" s="882"/>
      <c r="G64" s="882"/>
      <c r="H64" s="882"/>
      <c r="I64" s="882"/>
      <c r="J64" s="882"/>
      <c r="K64" s="882"/>
      <c r="L64" s="882"/>
      <c r="M64" s="882"/>
      <c r="N64" s="884"/>
      <c r="O64" s="138"/>
      <c r="P64" s="137"/>
      <c r="Q64" s="137"/>
      <c r="R64" s="716"/>
      <c r="S64" s="137"/>
      <c r="T64" s="963"/>
      <c r="U64" s="1048" t="str">
        <f>'ACAT-16'!U64</f>
        <v>Hilfs-Matrix für Vergence Unterscheidung:</v>
      </c>
      <c r="V64" s="1049">
        <f>'ACAT-16'!V64</f>
        <v>0</v>
      </c>
      <c r="W64" s="1049">
        <f>'ACAT-16'!W64</f>
        <v>0</v>
      </c>
      <c r="X64" s="1050">
        <f>'ACAT-16'!X64</f>
        <v>0</v>
      </c>
      <c r="Y64" s="137"/>
      <c r="Z64" s="137"/>
      <c r="AA64" s="964">
        <f ca="1">'ACAT-16'!AA64</f>
        <v>1</v>
      </c>
      <c r="AB64" s="965"/>
      <c r="AC64" s="1046"/>
      <c r="AD64" s="966">
        <f ca="1">'ACAT-16'!AD64</f>
        <v>0</v>
      </c>
      <c r="AE64" s="967" t="s">
        <v>112</v>
      </c>
      <c r="AF64" s="968"/>
      <c r="AG64" s="137"/>
      <c r="AH64" s="137"/>
      <c r="AI64" s="969"/>
      <c r="AJ64" s="969"/>
      <c r="AK64" s="137"/>
      <c r="AL64" s="137"/>
      <c r="AM64" s="137"/>
      <c r="AN64" s="137"/>
      <c r="AO64" s="137"/>
      <c r="AP64" s="137"/>
      <c r="AQ64" s="137"/>
    </row>
    <row r="65" spans="1:43" ht="15.6" thickTop="1" thickBot="1" x14ac:dyDescent="0.35">
      <c r="A65" s="137"/>
      <c r="B65" s="137"/>
      <c r="C65" s="137"/>
      <c r="D65" s="137"/>
      <c r="E65" s="715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716"/>
      <c r="S65" s="137"/>
      <c r="T65" s="970"/>
      <c r="U65" s="971" t="str">
        <f>'ACAT-16'!U65</f>
        <v>PhorieF=&gt;</v>
      </c>
      <c r="V65" s="972" t="str">
        <f>'ACAT-16'!V65</f>
        <v>&lt;3</v>
      </c>
      <c r="W65" s="972" t="str">
        <f>'ACAT-16'!W65</f>
        <v>=3</v>
      </c>
      <c r="X65" s="973" t="str">
        <f>'ACAT-16'!X65</f>
        <v>&gt;3</v>
      </c>
      <c r="Y65" s="137"/>
      <c r="Z65" s="137"/>
      <c r="AA65" s="974" t="s">
        <v>241</v>
      </c>
      <c r="AB65" s="975"/>
      <c r="AC65" s="1046"/>
      <c r="AD65" s="976">
        <f ca="1">'ACAT-16'!AD65</f>
        <v>1</v>
      </c>
      <c r="AE65" s="977" t="s">
        <v>236</v>
      </c>
      <c r="AF65" s="978"/>
      <c r="AG65" s="137"/>
      <c r="AH65" s="137"/>
      <c r="AI65" s="715"/>
      <c r="AJ65" s="715"/>
      <c r="AK65" s="137"/>
      <c r="AL65" s="137"/>
      <c r="AM65" s="137"/>
      <c r="AN65" s="137"/>
      <c r="AO65" s="137"/>
      <c r="AP65" s="137"/>
      <c r="AQ65" s="137"/>
    </row>
    <row r="66" spans="1:43" x14ac:dyDescent="0.3">
      <c r="A66" s="137"/>
      <c r="B66" s="137"/>
      <c r="C66" s="137"/>
      <c r="D66" s="137"/>
      <c r="E66" s="715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716"/>
      <c r="S66" s="137"/>
      <c r="T66" s="979" t="str">
        <f>'ACAT-16'!T66</f>
        <v>AC/A</v>
      </c>
      <c r="U66" s="980" t="str">
        <f>'ACAT-16'!U66</f>
        <v>Low</v>
      </c>
      <c r="V66" s="981" t="str">
        <f ca="1">'ACAT-16'!V66</f>
        <v>False CI / Pseudo-CI</v>
      </c>
      <c r="W66" s="981" t="str">
        <f ca="1">'ACAT-16'!W66</f>
        <v>False CI / Pseudo-CI</v>
      </c>
      <c r="X66" s="982" t="str">
        <f ca="1">'ACAT-16'!X66</f>
        <v>False CI / Pseudo-CI</v>
      </c>
      <c r="Y66" s="137"/>
      <c r="Z66" s="137"/>
      <c r="AA66" s="974" t="s">
        <v>242</v>
      </c>
      <c r="AB66" s="975"/>
      <c r="AC66" s="1046"/>
      <c r="AD66" s="976">
        <f ca="1">'ACAT-16'!AD66</f>
        <v>0</v>
      </c>
      <c r="AE66" s="983" t="s">
        <v>113</v>
      </c>
      <c r="AF66" s="978"/>
      <c r="AG66" s="137"/>
      <c r="AH66" s="137"/>
      <c r="AI66" s="984"/>
      <c r="AJ66" s="715"/>
      <c r="AK66" s="137"/>
      <c r="AL66" s="137"/>
      <c r="AM66" s="137"/>
      <c r="AN66" s="137"/>
      <c r="AO66" s="137"/>
      <c r="AP66" s="137"/>
      <c r="AQ66" s="137"/>
    </row>
    <row r="67" spans="1:43" x14ac:dyDescent="0.3">
      <c r="A67" s="137"/>
      <c r="B67" s="960"/>
      <c r="C67" s="960"/>
      <c r="D67" s="985"/>
      <c r="E67" s="715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716"/>
      <c r="S67" s="137"/>
      <c r="T67" s="986">
        <f>'ACAT-16'!T67</f>
        <v>3</v>
      </c>
      <c r="U67" s="980" t="str">
        <f>'ACAT-16'!U67</f>
        <v>Norm</v>
      </c>
      <c r="V67" s="987" t="str">
        <f ca="1">'ACAT-16'!V67</f>
        <v>False CI / Pseudo-CI</v>
      </c>
      <c r="W67" s="730" t="str">
        <f ca="1">'ACAT-16'!W67</f>
        <v>False CI / Pseudo-CI</v>
      </c>
      <c r="X67" s="988" t="str">
        <f ca="1">'ACAT-16'!X67</f>
        <v>Basic Eso</v>
      </c>
      <c r="Y67" s="960"/>
      <c r="Z67" s="137"/>
      <c r="AA67" s="989" t="s">
        <v>157</v>
      </c>
      <c r="AB67" s="975"/>
      <c r="AC67" s="1046"/>
      <c r="AD67" s="976">
        <f ca="1">'ACAT-16'!AD67</f>
        <v>0</v>
      </c>
      <c r="AE67" s="983" t="s">
        <v>114</v>
      </c>
      <c r="AF67" s="978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</row>
    <row r="68" spans="1:43" ht="15" thickBot="1" x14ac:dyDescent="0.35">
      <c r="A68" s="137"/>
      <c r="B68" s="960"/>
      <c r="C68" s="960"/>
      <c r="D68" s="960"/>
      <c r="E68" s="715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716"/>
      <c r="S68" s="749"/>
      <c r="T68" s="970"/>
      <c r="U68" s="980" t="str">
        <f>'ACAT-16'!U68</f>
        <v>High</v>
      </c>
      <c r="V68" s="987" t="str">
        <f>'ACAT-16'!V68</f>
        <v>DE</v>
      </c>
      <c r="W68" s="732" t="str">
        <f ca="1">'ACAT-16'!W68</f>
        <v>CE</v>
      </c>
      <c r="X68" s="990" t="str">
        <f ca="1">'ACAT-16'!X68</f>
        <v>False CI / Pseudo-CI</v>
      </c>
      <c r="Y68" s="137"/>
      <c r="Z68" s="137"/>
      <c r="AA68" s="974" t="s">
        <v>243</v>
      </c>
      <c r="AB68" s="975"/>
      <c r="AC68" s="1047"/>
      <c r="AD68" s="991">
        <f ca="1">'ACAT-16'!AD68</f>
        <v>0</v>
      </c>
      <c r="AE68" s="992" t="s">
        <v>115</v>
      </c>
      <c r="AF68" s="993"/>
      <c r="AG68" s="137"/>
      <c r="AH68" s="137"/>
      <c r="AI68" s="994"/>
      <c r="AJ68" s="995"/>
      <c r="AK68" s="145"/>
      <c r="AL68" s="749"/>
      <c r="AM68" s="137"/>
      <c r="AN68" s="137"/>
      <c r="AO68" s="137"/>
      <c r="AP68" s="137"/>
      <c r="AQ68" s="137"/>
    </row>
    <row r="69" spans="1:43" ht="15.6" thickTop="1" thickBot="1" x14ac:dyDescent="0.35">
      <c r="A69" s="137"/>
      <c r="B69" s="137"/>
      <c r="C69" s="137"/>
      <c r="D69" s="137"/>
      <c r="E69" s="715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716"/>
      <c r="S69" s="749"/>
      <c r="T69" s="996"/>
      <c r="U69" s="997"/>
      <c r="V69" s="998" t="str">
        <f>'ACAT-16'!V69</f>
        <v>vG@D</v>
      </c>
      <c r="W69" s="999">
        <f>'ACAT-16'!W69</f>
        <v>1</v>
      </c>
      <c r="X69" s="1000"/>
      <c r="Y69" s="137"/>
      <c r="Z69" s="137"/>
      <c r="AA69" s="989"/>
      <c r="AB69" s="975"/>
      <c r="AC69" s="1051" t="s">
        <v>196</v>
      </c>
      <c r="AD69" s="1001">
        <f ca="1">'ACAT-16'!AD69</f>
        <v>0</v>
      </c>
      <c r="AE69" s="1002" t="s">
        <v>116</v>
      </c>
      <c r="AF69" s="1003"/>
      <c r="AG69" s="137"/>
      <c r="AH69" s="137"/>
      <c r="AI69" s="994"/>
      <c r="AJ69" s="1004"/>
      <c r="AK69" s="749"/>
      <c r="AL69" s="749"/>
      <c r="AM69" s="137"/>
      <c r="AN69" s="137"/>
      <c r="AO69" s="137"/>
      <c r="AP69" s="137"/>
      <c r="AQ69" s="137"/>
    </row>
    <row r="70" spans="1:43" ht="15.6" thickTop="1" thickBot="1" x14ac:dyDescent="0.35">
      <c r="A70" s="137"/>
      <c r="B70" s="1005" t="s">
        <v>175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37"/>
      <c r="O70" s="137"/>
      <c r="P70" s="137"/>
      <c r="Q70" s="137"/>
      <c r="R70" s="716"/>
      <c r="S70" s="749"/>
      <c r="T70" s="137"/>
      <c r="U70" s="137"/>
      <c r="V70" s="137"/>
      <c r="W70" s="137"/>
      <c r="X70" s="137"/>
      <c r="Y70" s="137"/>
      <c r="Z70" s="137"/>
      <c r="AA70" s="1007"/>
      <c r="AB70" s="1008"/>
      <c r="AC70" s="1052"/>
      <c r="AD70" s="976">
        <f ca="1">'ACAT-16'!AD70</f>
        <v>0</v>
      </c>
      <c r="AE70" s="983" t="s">
        <v>117</v>
      </c>
      <c r="AF70" s="978"/>
      <c r="AG70" s="137"/>
      <c r="AH70" s="137"/>
      <c r="AI70" s="994"/>
      <c r="AJ70" s="1004"/>
      <c r="AK70" s="839"/>
      <c r="AL70" s="749"/>
      <c r="AM70" s="137"/>
      <c r="AN70" s="137"/>
      <c r="AO70" s="137"/>
      <c r="AP70" s="137"/>
      <c r="AQ70" s="137"/>
    </row>
    <row r="71" spans="1:43" ht="15.6" thickTop="1" thickBot="1" x14ac:dyDescent="0.35">
      <c r="A71" s="137"/>
      <c r="B71" s="1006" t="s">
        <v>176</v>
      </c>
      <c r="C71" s="1006"/>
      <c r="D71" s="1006" t="s">
        <v>203</v>
      </c>
      <c r="E71" s="1006"/>
      <c r="F71" s="1006"/>
      <c r="G71" s="1006"/>
      <c r="H71" s="1006"/>
      <c r="I71" s="1006"/>
      <c r="J71" s="1006"/>
      <c r="K71" s="1006"/>
      <c r="L71" s="1006"/>
      <c r="M71" s="1006"/>
      <c r="N71" s="137"/>
      <c r="O71" s="137"/>
      <c r="P71" s="137"/>
      <c r="Q71" s="137"/>
      <c r="R71" s="716"/>
      <c r="S71" s="749"/>
      <c r="T71" s="137"/>
      <c r="U71" s="137"/>
      <c r="V71" s="137"/>
      <c r="W71" s="137"/>
      <c r="X71" s="137"/>
      <c r="Y71" s="137"/>
      <c r="Z71" s="137"/>
      <c r="AA71" s="1009" t="s">
        <v>158</v>
      </c>
      <c r="AB71" s="1010"/>
      <c r="AC71" s="1052"/>
      <c r="AD71" s="991">
        <f ca="1">'ACAT-16'!AD71</f>
        <v>0</v>
      </c>
      <c r="AE71" s="992" t="s">
        <v>118</v>
      </c>
      <c r="AF71" s="993"/>
      <c r="AG71" s="137"/>
      <c r="AH71" s="137"/>
      <c r="AI71" s="994"/>
      <c r="AJ71" s="1004"/>
      <c r="AK71" s="749"/>
      <c r="AL71" s="749"/>
      <c r="AM71" s="137"/>
      <c r="AN71" s="137"/>
      <c r="AO71" s="137"/>
      <c r="AP71" s="137"/>
      <c r="AQ71" s="137"/>
    </row>
    <row r="72" spans="1:43" ht="15" thickBot="1" x14ac:dyDescent="0.35">
      <c r="A72" s="137"/>
      <c r="B72" s="1006" t="s">
        <v>177</v>
      </c>
      <c r="C72" s="1006"/>
      <c r="D72" s="1006" t="s">
        <v>201</v>
      </c>
      <c r="E72" s="1006"/>
      <c r="F72" s="1006"/>
      <c r="G72" s="1006"/>
      <c r="H72" s="1006"/>
      <c r="I72" s="1006"/>
      <c r="J72" s="1006"/>
      <c r="K72" s="1006"/>
      <c r="L72" s="1006"/>
      <c r="M72" s="1006"/>
      <c r="N72" s="137"/>
      <c r="O72" s="137"/>
      <c r="P72" s="137"/>
      <c r="Q72" s="137"/>
      <c r="R72" s="716"/>
      <c r="S72" s="749"/>
      <c r="T72" s="137"/>
      <c r="U72" s="137"/>
      <c r="V72" s="137"/>
      <c r="W72" s="137"/>
      <c r="X72" s="137"/>
      <c r="Y72" s="137"/>
      <c r="Z72" s="137"/>
      <c r="AA72" s="1011" t="str">
        <f ca="1">'ACAT-16'!AA72</f>
        <v>False CI / Pseudo-CI</v>
      </c>
      <c r="AB72" s="1012"/>
      <c r="AC72" s="1053"/>
      <c r="AD72" s="1013" t="str">
        <f ca="1">'ACAT-16'!AD72</f>
        <v>Hyper-Responsive Accommodation</v>
      </c>
      <c r="AE72" s="1014"/>
      <c r="AF72" s="1015"/>
      <c r="AG72" s="137"/>
      <c r="AH72" s="137"/>
      <c r="AI72" s="994"/>
      <c r="AJ72" s="1004"/>
      <c r="AK72" s="749"/>
      <c r="AL72" s="749"/>
      <c r="AM72" s="137"/>
      <c r="AN72" s="137"/>
      <c r="AO72" s="137"/>
      <c r="AP72" s="137"/>
      <c r="AQ72" s="137"/>
    </row>
    <row r="73" spans="1:43" ht="15" thickTop="1" x14ac:dyDescent="0.3">
      <c r="A73" s="137"/>
      <c r="B73" s="1006"/>
      <c r="C73" s="1006"/>
      <c r="D73" s="1006"/>
      <c r="E73" s="1006"/>
      <c r="F73" s="1006"/>
      <c r="G73" s="1006"/>
      <c r="H73" s="1006"/>
      <c r="I73" s="1006"/>
      <c r="J73" s="1006"/>
      <c r="K73" s="1006"/>
      <c r="L73" s="1006"/>
      <c r="M73" s="1006"/>
      <c r="N73" s="137"/>
      <c r="O73" s="137"/>
      <c r="P73" s="137"/>
      <c r="Q73" s="137"/>
      <c r="R73" s="716"/>
      <c r="S73" s="749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994"/>
      <c r="AJ73" s="1004"/>
      <c r="AK73" s="749"/>
      <c r="AL73" s="749"/>
      <c r="AM73" s="137"/>
      <c r="AN73" s="137"/>
      <c r="AO73" s="137"/>
      <c r="AP73" s="137"/>
      <c r="AQ73" s="137"/>
    </row>
    <row r="74" spans="1:43" x14ac:dyDescent="0.3">
      <c r="A74" s="137"/>
      <c r="B74" s="1005" t="s">
        <v>133</v>
      </c>
      <c r="C74" s="1006"/>
      <c r="D74" s="1006"/>
      <c r="E74" s="1006"/>
      <c r="F74" s="1006"/>
      <c r="G74" s="1006"/>
      <c r="H74" s="1006"/>
      <c r="I74" s="1006"/>
      <c r="J74" s="1006"/>
      <c r="K74" s="1006"/>
      <c r="L74" s="1006"/>
      <c r="M74" s="1006"/>
      <c r="N74" s="137"/>
      <c r="O74" s="830"/>
      <c r="P74" s="137"/>
      <c r="Q74" s="137"/>
      <c r="R74" s="716"/>
      <c r="S74" s="137"/>
      <c r="T74" s="137"/>
      <c r="U74" s="960"/>
      <c r="V74" s="960"/>
      <c r="W74" s="960"/>
      <c r="X74" s="960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994"/>
      <c r="AJ74" s="1004"/>
      <c r="AK74" s="749"/>
      <c r="AL74" s="749"/>
      <c r="AM74" s="137"/>
      <c r="AN74" s="137"/>
      <c r="AO74" s="137"/>
      <c r="AP74" s="137"/>
      <c r="AQ74" s="137"/>
    </row>
    <row r="75" spans="1:43" x14ac:dyDescent="0.3">
      <c r="A75" s="137"/>
      <c r="B75" s="1006" t="s">
        <v>178</v>
      </c>
      <c r="C75" s="1006"/>
      <c r="D75" s="1006" t="s">
        <v>179</v>
      </c>
      <c r="E75" s="1006"/>
      <c r="F75" s="1006"/>
      <c r="G75" s="1006"/>
      <c r="H75" s="1006"/>
      <c r="I75" s="1006"/>
      <c r="J75" s="1006"/>
      <c r="K75" s="1006"/>
      <c r="L75" s="1006"/>
      <c r="M75" s="1006"/>
      <c r="N75" s="137"/>
      <c r="O75" s="1016"/>
      <c r="P75" s="137"/>
      <c r="Q75" s="137"/>
      <c r="R75" s="716"/>
      <c r="S75" s="137"/>
      <c r="T75" s="960"/>
      <c r="U75" s="960"/>
      <c r="V75" s="960"/>
      <c r="W75" s="960"/>
      <c r="X75" s="960"/>
      <c r="Y75" s="137"/>
      <c r="Z75" s="137"/>
      <c r="AA75" s="1017"/>
      <c r="AB75" s="137"/>
      <c r="AC75" s="137"/>
      <c r="AD75" s="137"/>
      <c r="AE75" s="137"/>
      <c r="AF75" s="137"/>
      <c r="AG75" s="137"/>
      <c r="AH75" s="137"/>
      <c r="AI75" s="994"/>
      <c r="AJ75" s="1004"/>
      <c r="AK75" s="749"/>
      <c r="AL75" s="749"/>
      <c r="AM75" s="137"/>
      <c r="AN75" s="137"/>
      <c r="AO75" s="137"/>
      <c r="AP75" s="137"/>
      <c r="AQ75" s="137"/>
    </row>
    <row r="76" spans="1:43" x14ac:dyDescent="0.3">
      <c r="A76" s="137"/>
      <c r="B76" s="1006" t="s">
        <v>180</v>
      </c>
      <c r="C76" s="1006"/>
      <c r="D76" s="1006" t="s">
        <v>181</v>
      </c>
      <c r="E76" s="1006"/>
      <c r="F76" s="1006"/>
      <c r="G76" s="1006"/>
      <c r="H76" s="1006"/>
      <c r="I76" s="1006"/>
      <c r="J76" s="1006"/>
      <c r="K76" s="1006"/>
      <c r="L76" s="1006"/>
      <c r="M76" s="1006"/>
      <c r="N76" s="716"/>
      <c r="O76" s="1018"/>
      <c r="P76" s="716"/>
      <c r="Q76" s="716"/>
      <c r="R76" s="716"/>
      <c r="S76" s="137"/>
      <c r="T76" s="137"/>
      <c r="U76" s="960"/>
      <c r="V76" s="137"/>
      <c r="W76" s="960"/>
      <c r="X76" s="960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994"/>
      <c r="AJ76" s="1004"/>
      <c r="AK76" s="749"/>
      <c r="AL76" s="749"/>
      <c r="AM76" s="137"/>
      <c r="AN76" s="137"/>
      <c r="AO76" s="137"/>
      <c r="AP76" s="137"/>
      <c r="AQ76" s="137"/>
    </row>
    <row r="77" spans="1:43" x14ac:dyDescent="0.3">
      <c r="A77" s="137"/>
      <c r="B77" s="1006"/>
      <c r="C77" s="1006"/>
      <c r="D77" s="1006"/>
      <c r="E77" s="1006"/>
      <c r="F77" s="1006"/>
      <c r="G77" s="1006"/>
      <c r="H77" s="1006"/>
      <c r="I77" s="1006"/>
      <c r="J77" s="1006"/>
      <c r="K77" s="1006"/>
      <c r="L77" s="1006"/>
      <c r="M77" s="1019"/>
      <c r="N77" s="137"/>
      <c r="O77" s="1016"/>
      <c r="P77" s="137"/>
      <c r="Q77" s="137"/>
      <c r="R77" s="716"/>
      <c r="S77" s="137"/>
      <c r="T77" s="138"/>
      <c r="U77" s="137"/>
      <c r="V77" s="138"/>
      <c r="X77" s="138"/>
      <c r="Y77" s="137"/>
      <c r="Z77" s="137"/>
      <c r="AA77" s="1017"/>
      <c r="AB77" s="137"/>
      <c r="AC77" s="137"/>
      <c r="AD77" s="137"/>
      <c r="AE77" s="137"/>
      <c r="AF77" s="137"/>
      <c r="AG77" s="137"/>
      <c r="AH77" s="137"/>
      <c r="AI77" s="994"/>
      <c r="AJ77" s="1020"/>
      <c r="AK77" s="995"/>
      <c r="AL77" s="749"/>
      <c r="AM77" s="137"/>
      <c r="AN77" s="137"/>
      <c r="AO77" s="137"/>
      <c r="AP77" s="137"/>
      <c r="AQ77" s="137"/>
    </row>
    <row r="78" spans="1:43" x14ac:dyDescent="0.3">
      <c r="A78" s="137"/>
      <c r="B78" s="1005" t="s">
        <v>182</v>
      </c>
      <c r="C78" s="1006"/>
      <c r="D78" s="1006"/>
      <c r="E78" s="1006"/>
      <c r="F78" s="1006"/>
      <c r="G78" s="1006"/>
      <c r="H78" s="1006"/>
      <c r="I78" s="1006"/>
      <c r="J78" s="1006"/>
      <c r="K78" s="1006"/>
      <c r="L78" s="1006"/>
      <c r="M78" s="1019"/>
      <c r="N78" s="137"/>
      <c r="O78" s="1016"/>
      <c r="P78" s="137"/>
      <c r="Q78" s="137"/>
      <c r="R78" s="716"/>
      <c r="S78" s="137"/>
      <c r="T78" s="138"/>
      <c r="U78" s="139"/>
      <c r="V78" s="1021"/>
      <c r="W78" s="138"/>
      <c r="X78" s="138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</row>
    <row r="79" spans="1:43" x14ac:dyDescent="0.3">
      <c r="A79" s="137"/>
      <c r="B79" s="1006" t="s">
        <v>183</v>
      </c>
      <c r="C79" s="1006"/>
      <c r="D79" s="1006"/>
      <c r="E79" s="1006"/>
      <c r="F79" s="1006"/>
      <c r="G79" s="1006"/>
      <c r="H79" s="1006"/>
      <c r="I79" s="1006"/>
      <c r="J79" s="1006"/>
      <c r="K79" s="1006"/>
      <c r="L79" s="1006"/>
      <c r="M79" s="1006"/>
      <c r="N79" s="137"/>
      <c r="O79" s="1022"/>
      <c r="P79" s="137"/>
      <c r="Q79" s="137"/>
      <c r="R79" s="716"/>
      <c r="S79" s="137"/>
      <c r="T79" s="138"/>
      <c r="U79" s="1021"/>
      <c r="V79" s="1023"/>
      <c r="W79" s="925"/>
      <c r="X79" s="138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</row>
    <row r="80" spans="1:43" x14ac:dyDescent="0.3">
      <c r="A80" s="137"/>
      <c r="B80" s="1006" t="s">
        <v>184</v>
      </c>
      <c r="C80" s="1006"/>
      <c r="D80" s="1006"/>
      <c r="E80" s="1006"/>
      <c r="F80" s="1006"/>
      <c r="G80" s="1006"/>
      <c r="H80" s="1006"/>
      <c r="I80" s="1006"/>
      <c r="J80" s="1006"/>
      <c r="K80" s="1006"/>
      <c r="L80" s="1006"/>
      <c r="M80" s="1006"/>
      <c r="N80" s="137"/>
      <c r="O80" s="137"/>
      <c r="P80" s="137"/>
      <c r="Q80" s="137"/>
      <c r="R80" s="716"/>
      <c r="S80" s="137"/>
      <c r="T80" s="138"/>
      <c r="U80" s="138"/>
      <c r="V80" s="138"/>
      <c r="W80" s="138"/>
      <c r="X80" s="138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</row>
    <row r="81" spans="1:43" x14ac:dyDescent="0.3">
      <c r="A81" s="137"/>
      <c r="B81" s="1006" t="s">
        <v>185</v>
      </c>
      <c r="C81" s="1006"/>
      <c r="D81" s="1006"/>
      <c r="E81" s="1006"/>
      <c r="F81" s="1006"/>
      <c r="G81" s="1006"/>
      <c r="H81" s="1006"/>
      <c r="I81" s="1006"/>
      <c r="J81" s="1006"/>
      <c r="K81" s="1006"/>
      <c r="L81" s="1006"/>
      <c r="M81" s="1006"/>
      <c r="N81" s="137"/>
      <c r="O81" s="137"/>
      <c r="P81" s="137"/>
      <c r="Q81" s="137"/>
      <c r="R81" s="716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8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</row>
    <row r="82" spans="1:43" x14ac:dyDescent="0.3">
      <c r="A82" s="137"/>
      <c r="B82" s="1006" t="s">
        <v>186</v>
      </c>
      <c r="C82" s="1006"/>
      <c r="D82" s="1006"/>
      <c r="E82" s="1006"/>
      <c r="F82" s="1006"/>
      <c r="G82" s="1006"/>
      <c r="H82" s="1006"/>
      <c r="I82" s="1006"/>
      <c r="J82" s="1006"/>
      <c r="K82" s="1006"/>
      <c r="L82" s="1006"/>
      <c r="M82" s="1006"/>
      <c r="N82" s="137"/>
      <c r="O82" s="137"/>
      <c r="P82" s="137"/>
      <c r="Q82" s="137"/>
      <c r="R82" s="716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749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</row>
    <row r="83" spans="1:43" x14ac:dyDescent="0.3">
      <c r="A83" s="137"/>
      <c r="B83" s="1006" t="s">
        <v>187</v>
      </c>
      <c r="C83" s="1006"/>
      <c r="D83" s="1006"/>
      <c r="E83" s="1006"/>
      <c r="F83" s="1006"/>
      <c r="G83" s="1006"/>
      <c r="H83" s="1006"/>
      <c r="I83" s="1006"/>
      <c r="J83" s="1006"/>
      <c r="K83" s="1006"/>
      <c r="L83" s="1006"/>
      <c r="M83" s="1006"/>
      <c r="N83" s="137"/>
      <c r="O83" s="960"/>
      <c r="P83" s="137"/>
      <c r="Q83" s="137"/>
      <c r="R83" s="716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</row>
    <row r="84" spans="1:43" x14ac:dyDescent="0.3">
      <c r="A84" s="137"/>
      <c r="B84" s="137"/>
      <c r="C84" s="137"/>
      <c r="D84" s="137"/>
      <c r="E84" s="715"/>
      <c r="F84" s="137"/>
      <c r="G84" s="137"/>
      <c r="H84" s="137"/>
      <c r="I84" s="137"/>
      <c r="J84" s="137"/>
      <c r="K84" s="137"/>
      <c r="L84" s="137"/>
      <c r="M84" s="137"/>
      <c r="N84" s="137"/>
      <c r="O84" s="960"/>
      <c r="P84" s="137"/>
      <c r="Q84" s="137"/>
      <c r="R84" s="716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</row>
  </sheetData>
  <sheetProtection algorithmName="SHA-512" hashValue="Af+WJoVMAPs4VpMs4vJBgbPAeAj+ODr/o/bkHllz7bkzqDH87XicS6cpkYVbjhXu5R/lss3JmtCIJ2Xz0HfZNw==" saltValue="fFQUXcDJaNaqhqCkL1DlKg==" spinCount="100000" sheet="1" objects="1" scenarios="1" selectLockedCells="1"/>
  <mergeCells count="34">
    <mergeCell ref="AF3:AI3"/>
    <mergeCell ref="U7:W7"/>
    <mergeCell ref="AF9:AI9"/>
    <mergeCell ref="B11:B12"/>
    <mergeCell ref="C11:C12"/>
    <mergeCell ref="D11:D12"/>
    <mergeCell ref="E11:E12"/>
    <mergeCell ref="F11:H11"/>
    <mergeCell ref="I11:I12"/>
    <mergeCell ref="J11:J12"/>
    <mergeCell ref="B13:B14"/>
    <mergeCell ref="C13:C14"/>
    <mergeCell ref="J13:J14"/>
    <mergeCell ref="B15:B16"/>
    <mergeCell ref="C15:C16"/>
    <mergeCell ref="J15:J16"/>
    <mergeCell ref="T15:X15"/>
    <mergeCell ref="S17:S22"/>
    <mergeCell ref="S23:S50"/>
    <mergeCell ref="B24:B25"/>
    <mergeCell ref="C24:C25"/>
    <mergeCell ref="C41:C42"/>
    <mergeCell ref="I46:J46"/>
    <mergeCell ref="C48:C50"/>
    <mergeCell ref="AC63:AC68"/>
    <mergeCell ref="U64:X64"/>
    <mergeCell ref="AC69:AC72"/>
    <mergeCell ref="AH48:AJ48"/>
    <mergeCell ref="C52:D52"/>
    <mergeCell ref="F52:G52"/>
    <mergeCell ref="C59:G60"/>
    <mergeCell ref="U59:V59"/>
    <mergeCell ref="W59:X59"/>
    <mergeCell ref="AA60:AB60"/>
  </mergeCells>
  <pageMargins left="0.7" right="0.7" top="0.78740157499999996" bottom="0.78740157499999996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R116"/>
  <sheetViews>
    <sheetView zoomScale="40" zoomScaleNormal="40" workbookViewId="0">
      <selection activeCell="Q88" sqref="Q88"/>
    </sheetView>
  </sheetViews>
  <sheetFormatPr baseColWidth="10" defaultColWidth="11.5546875" defaultRowHeight="14.4" x14ac:dyDescent="0.3"/>
  <cols>
    <col min="1" max="2" width="11.5546875" style="263"/>
    <col min="3" max="3" width="26.5546875" style="263" bestFit="1" customWidth="1"/>
    <col min="4" max="4" width="11.5546875" style="263"/>
    <col min="5" max="5" width="4.109375" style="264" customWidth="1"/>
    <col min="6" max="6" width="11.5546875" style="263"/>
    <col min="7" max="7" width="11.5546875" style="263" customWidth="1"/>
    <col min="8" max="17" width="11.5546875" style="263"/>
    <col min="18" max="18" width="11.5546875" style="265"/>
    <col min="19" max="19" width="7.6640625" style="263" bestFit="1" customWidth="1"/>
    <col min="20" max="20" width="13.5546875" style="263" customWidth="1"/>
    <col min="21" max="27" width="11.5546875" style="263"/>
    <col min="28" max="28" width="13.109375" style="263" bestFit="1" customWidth="1"/>
    <col min="29" max="16384" width="11.5546875" style="263"/>
  </cols>
  <sheetData>
    <row r="1" spans="1:44" ht="15" thickBot="1" x14ac:dyDescent="0.35">
      <c r="A1" s="289"/>
      <c r="B1" s="289"/>
      <c r="C1" s="289"/>
      <c r="D1" s="289"/>
      <c r="E1" s="290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91"/>
      <c r="S1" s="289"/>
      <c r="T1" s="289"/>
      <c r="U1" s="289"/>
      <c r="V1" s="289"/>
      <c r="W1" s="289"/>
      <c r="X1" s="289"/>
      <c r="Y1" s="289"/>
      <c r="Z1" s="292"/>
      <c r="AA1" s="292"/>
      <c r="AB1" s="292"/>
      <c r="AC1" s="292"/>
      <c r="AD1" s="292"/>
      <c r="AE1" s="292"/>
      <c r="AF1" s="292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</row>
    <row r="2" spans="1:44" ht="15" thickTop="1" x14ac:dyDescent="0.3">
      <c r="A2" s="289"/>
      <c r="B2" s="293"/>
      <c r="C2" s="294"/>
      <c r="D2" s="294"/>
      <c r="E2" s="295"/>
      <c r="F2" s="294"/>
      <c r="G2" s="294"/>
      <c r="H2" s="294"/>
      <c r="I2" s="294"/>
      <c r="J2" s="294"/>
      <c r="K2" s="294"/>
      <c r="L2" s="294"/>
      <c r="M2" s="294"/>
      <c r="N2" s="296"/>
      <c r="O2" s="292"/>
      <c r="P2" s="289"/>
      <c r="Q2" s="289"/>
      <c r="R2" s="291"/>
      <c r="S2" s="289"/>
      <c r="T2" s="297" t="s">
        <v>0</v>
      </c>
      <c r="U2" s="289"/>
      <c r="V2" s="291"/>
      <c r="W2" s="289"/>
      <c r="X2" s="289"/>
      <c r="Y2" s="289"/>
      <c r="Z2" s="289"/>
      <c r="AA2" s="289"/>
      <c r="AB2" s="292"/>
      <c r="AC2" s="292"/>
      <c r="AD2" s="292"/>
      <c r="AE2" s="292"/>
      <c r="AF2" s="292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</row>
    <row r="3" spans="1:44" x14ac:dyDescent="0.3">
      <c r="A3" s="289"/>
      <c r="B3" s="298"/>
      <c r="C3" s="292"/>
      <c r="D3" s="292"/>
      <c r="E3" s="299"/>
      <c r="F3" s="292"/>
      <c r="G3" s="292"/>
      <c r="H3" s="292"/>
      <c r="I3" s="292"/>
      <c r="J3" s="292"/>
      <c r="K3" s="292"/>
      <c r="L3" s="292"/>
      <c r="M3" s="292"/>
      <c r="N3" s="300"/>
      <c r="O3" s="292"/>
      <c r="P3" s="289"/>
      <c r="Q3" s="289"/>
      <c r="R3" s="291"/>
      <c r="S3" s="289"/>
      <c r="T3" s="301" t="s">
        <v>1</v>
      </c>
      <c r="U3" s="302" t="s">
        <v>2</v>
      </c>
      <c r="V3" s="302" t="s">
        <v>3</v>
      </c>
      <c r="W3" s="302" t="s">
        <v>4</v>
      </c>
      <c r="X3" s="303" t="s">
        <v>5</v>
      </c>
      <c r="Y3" s="304" t="s">
        <v>6</v>
      </c>
      <c r="Z3" s="304" t="s">
        <v>7</v>
      </c>
      <c r="AA3" s="304" t="s">
        <v>8</v>
      </c>
      <c r="AB3" s="292"/>
      <c r="AC3" s="292"/>
      <c r="AD3" s="292"/>
      <c r="AE3" s="305"/>
      <c r="AF3" s="1099" t="s">
        <v>168</v>
      </c>
      <c r="AG3" s="1099"/>
      <c r="AH3" s="1099"/>
      <c r="AI3" s="1099"/>
      <c r="AJ3" s="289"/>
      <c r="AK3" s="289"/>
      <c r="AL3" s="289"/>
      <c r="AM3" s="289"/>
      <c r="AN3" s="289"/>
      <c r="AO3" s="289"/>
      <c r="AP3" s="289"/>
      <c r="AQ3" s="289"/>
      <c r="AR3" s="289"/>
    </row>
    <row r="4" spans="1:44" x14ac:dyDescent="0.3">
      <c r="A4" s="289"/>
      <c r="B4" s="298"/>
      <c r="C4" s="306" t="s">
        <v>197</v>
      </c>
      <c r="D4" s="292"/>
      <c r="E4" s="299"/>
      <c r="F4" s="292"/>
      <c r="G4" s="292"/>
      <c r="H4" s="292"/>
      <c r="I4" s="292"/>
      <c r="J4" s="307">
        <f ca="1">TODAY()</f>
        <v>42906</v>
      </c>
      <c r="K4" s="292"/>
      <c r="L4" s="292"/>
      <c r="M4" s="289"/>
      <c r="N4" s="300"/>
      <c r="O4" s="292"/>
      <c r="P4" s="289"/>
      <c r="Q4" s="289"/>
      <c r="R4" s="291"/>
      <c r="S4" s="289"/>
      <c r="T4" s="301" t="s">
        <v>9</v>
      </c>
      <c r="U4" s="301">
        <v>0</v>
      </c>
      <c r="V4" s="301">
        <v>1</v>
      </c>
      <c r="W4" s="301">
        <v>2</v>
      </c>
      <c r="X4" s="301">
        <v>3</v>
      </c>
      <c r="Y4" s="301">
        <v>4</v>
      </c>
      <c r="Z4" s="301">
        <v>4</v>
      </c>
      <c r="AA4" s="301">
        <v>4</v>
      </c>
      <c r="AB4" s="292"/>
      <c r="AC4" s="292"/>
      <c r="AD4" s="292"/>
      <c r="AE4" s="308" t="s">
        <v>160</v>
      </c>
      <c r="AF4" s="308" t="s">
        <v>166</v>
      </c>
      <c r="AG4" s="308" t="s">
        <v>162</v>
      </c>
      <c r="AH4" s="308" t="s">
        <v>165</v>
      </c>
      <c r="AI4" s="308" t="s">
        <v>164</v>
      </c>
      <c r="AJ4" s="289"/>
      <c r="AK4" s="289"/>
      <c r="AL4" s="289"/>
      <c r="AM4" s="289"/>
      <c r="AN4" s="289"/>
      <c r="AO4" s="289"/>
      <c r="AP4" s="289"/>
      <c r="AQ4" s="289"/>
      <c r="AR4" s="289"/>
    </row>
    <row r="5" spans="1:44" x14ac:dyDescent="0.3">
      <c r="A5" s="289"/>
      <c r="B5" s="298"/>
      <c r="C5" s="292"/>
      <c r="D5" s="292"/>
      <c r="E5" s="299"/>
      <c r="F5" s="292"/>
      <c r="G5" s="292"/>
      <c r="H5" s="309"/>
      <c r="I5" s="292"/>
      <c r="J5" s="292"/>
      <c r="K5" s="292"/>
      <c r="L5" s="292"/>
      <c r="M5" s="292"/>
      <c r="N5" s="300"/>
      <c r="O5" s="292"/>
      <c r="P5" s="289" t="s">
        <v>218</v>
      </c>
      <c r="Q5" s="289"/>
      <c r="R5" s="291"/>
      <c r="S5" s="289"/>
      <c r="T5" s="301" t="s">
        <v>10</v>
      </c>
      <c r="U5" s="301">
        <v>0</v>
      </c>
      <c r="V5" s="301">
        <v>1</v>
      </c>
      <c r="W5" s="301">
        <v>2</v>
      </c>
      <c r="X5" s="301">
        <v>3</v>
      </c>
      <c r="Y5" s="301">
        <v>2</v>
      </c>
      <c r="Z5" s="301">
        <v>1</v>
      </c>
      <c r="AA5" s="301">
        <v>0</v>
      </c>
      <c r="AB5" s="292"/>
      <c r="AC5" s="292"/>
      <c r="AD5" s="292"/>
      <c r="AE5" s="310">
        <v>6</v>
      </c>
      <c r="AF5" s="308">
        <v>3</v>
      </c>
      <c r="AG5" s="311">
        <v>2.5</v>
      </c>
      <c r="AH5" s="308">
        <v>2</v>
      </c>
      <c r="AI5" s="308">
        <v>40</v>
      </c>
      <c r="AJ5" s="289"/>
      <c r="AK5" s="289"/>
      <c r="AL5" s="289"/>
      <c r="AM5" s="289"/>
      <c r="AN5" s="289"/>
      <c r="AO5" s="289"/>
      <c r="AP5" s="289"/>
      <c r="AQ5" s="289"/>
      <c r="AR5" s="289"/>
    </row>
    <row r="6" spans="1:44" x14ac:dyDescent="0.3">
      <c r="A6" s="289"/>
      <c r="B6" s="298"/>
      <c r="C6" s="307"/>
      <c r="D6" s="292"/>
      <c r="E6" s="312"/>
      <c r="F6" s="289"/>
      <c r="G6" s="292"/>
      <c r="H6" s="309"/>
      <c r="I6" s="292"/>
      <c r="J6" s="292"/>
      <c r="K6" s="292"/>
      <c r="L6" s="292"/>
      <c r="M6" s="292"/>
      <c r="N6" s="300"/>
      <c r="O6" s="292"/>
      <c r="P6" s="289"/>
      <c r="Q6" s="289"/>
      <c r="R6" s="291"/>
      <c r="S6" s="289"/>
      <c r="T6" s="303" t="s">
        <v>11</v>
      </c>
      <c r="U6" s="301">
        <v>0</v>
      </c>
      <c r="V6" s="301">
        <v>1</v>
      </c>
      <c r="W6" s="301">
        <v>2</v>
      </c>
      <c r="X6" s="301">
        <v>3</v>
      </c>
      <c r="Y6" s="301">
        <v>4</v>
      </c>
      <c r="Z6" s="301">
        <v>5</v>
      </c>
      <c r="AA6" s="301">
        <v>6</v>
      </c>
      <c r="AB6" s="292"/>
      <c r="AC6" s="292"/>
      <c r="AD6" s="292"/>
      <c r="AE6" s="313">
        <v>7</v>
      </c>
      <c r="AF6" s="308">
        <v>3.5</v>
      </c>
      <c r="AG6" s="311">
        <v>2.5</v>
      </c>
      <c r="AH6" s="308">
        <v>2</v>
      </c>
      <c r="AI6" s="308">
        <v>40</v>
      </c>
      <c r="AJ6" s="289"/>
      <c r="AK6" s="289"/>
      <c r="AL6" s="289"/>
      <c r="AM6" s="289"/>
      <c r="AN6" s="289"/>
      <c r="AO6" s="289"/>
      <c r="AP6" s="289"/>
      <c r="AQ6" s="289"/>
      <c r="AR6" s="289"/>
    </row>
    <row r="7" spans="1:44" x14ac:dyDescent="0.3">
      <c r="A7" s="289"/>
      <c r="B7" s="314" t="s">
        <v>12</v>
      </c>
      <c r="C7" s="306" t="str">
        <f>'Eingabe-Maske'!C7</f>
        <v>Case 9</v>
      </c>
      <c r="D7" s="292"/>
      <c r="E7" s="299"/>
      <c r="F7" s="289"/>
      <c r="G7" s="292"/>
      <c r="H7" s="315"/>
      <c r="I7" s="292"/>
      <c r="J7" s="292"/>
      <c r="K7" s="292"/>
      <c r="L7" s="292"/>
      <c r="M7" s="292"/>
      <c r="N7" s="300"/>
      <c r="O7" s="292"/>
      <c r="P7" s="289"/>
      <c r="Q7" s="289"/>
      <c r="R7" s="291"/>
      <c r="S7" s="289"/>
      <c r="T7" s="289"/>
      <c r="U7" s="1101" t="s">
        <v>13</v>
      </c>
      <c r="V7" s="1102"/>
      <c r="W7" s="1103"/>
      <c r="X7" s="316" t="s">
        <v>14</v>
      </c>
      <c r="Y7" s="317" t="s">
        <v>15</v>
      </c>
      <c r="Z7" s="318"/>
      <c r="AA7" s="319"/>
      <c r="AB7" s="292"/>
      <c r="AC7" s="292"/>
      <c r="AD7" s="292"/>
      <c r="AE7" s="320" t="s">
        <v>161</v>
      </c>
      <c r="AF7" s="308">
        <v>5</v>
      </c>
      <c r="AG7" s="308">
        <v>2.5</v>
      </c>
      <c r="AH7" s="308">
        <v>2</v>
      </c>
      <c r="AI7" s="308">
        <v>40</v>
      </c>
      <c r="AJ7" s="289"/>
      <c r="AK7" s="289"/>
      <c r="AL7" s="289"/>
      <c r="AM7" s="289"/>
      <c r="AN7" s="289"/>
      <c r="AO7" s="289"/>
      <c r="AP7" s="289"/>
      <c r="AQ7" s="289"/>
      <c r="AR7" s="289"/>
    </row>
    <row r="8" spans="1:44" x14ac:dyDescent="0.3">
      <c r="A8" s="289"/>
      <c r="B8" s="314" t="s">
        <v>16</v>
      </c>
      <c r="C8" s="306" t="str">
        <f>'Eingabe-Maske'!C8</f>
        <v>BV-2</v>
      </c>
      <c r="D8" s="292"/>
      <c r="E8" s="299"/>
      <c r="F8" s="292"/>
      <c r="G8" s="292"/>
      <c r="H8" s="292"/>
      <c r="I8" s="292"/>
      <c r="J8" s="292"/>
      <c r="K8" s="292"/>
      <c r="L8" s="292"/>
      <c r="M8" s="292"/>
      <c r="N8" s="300"/>
      <c r="O8" s="292"/>
      <c r="P8" s="289"/>
      <c r="Q8" s="289"/>
      <c r="R8" s="291"/>
      <c r="S8" s="289"/>
      <c r="T8" s="289"/>
      <c r="U8" s="289"/>
      <c r="V8" s="289"/>
      <c r="W8" s="289"/>
      <c r="X8" s="289"/>
      <c r="Y8" s="289"/>
      <c r="Z8" s="292"/>
      <c r="AA8" s="292"/>
      <c r="AB8" s="292"/>
      <c r="AC8" s="292"/>
      <c r="AD8" s="292"/>
      <c r="AE8" s="320" t="s">
        <v>163</v>
      </c>
      <c r="AF8" s="308">
        <v>10</v>
      </c>
      <c r="AG8" s="308">
        <v>5</v>
      </c>
      <c r="AH8" s="308">
        <f>ROUND(((G48*0.3/2)*4),0)/4</f>
        <v>2</v>
      </c>
      <c r="AI8" s="321">
        <f>ROUND((F48/0.45*2),0)/2</f>
        <v>18</v>
      </c>
      <c r="AJ8" s="289"/>
      <c r="AK8" s="289"/>
      <c r="AL8" s="289"/>
      <c r="AM8" s="289"/>
      <c r="AN8" s="289"/>
      <c r="AO8" s="289"/>
      <c r="AP8" s="289"/>
      <c r="AQ8" s="289"/>
      <c r="AR8" s="289"/>
    </row>
    <row r="9" spans="1:44" x14ac:dyDescent="0.3">
      <c r="A9" s="289"/>
      <c r="B9" s="314" t="s">
        <v>18</v>
      </c>
      <c r="C9" s="322">
        <f>'Eingabe-Maske'!C9</f>
        <v>39083</v>
      </c>
      <c r="D9" s="309" t="s">
        <v>19</v>
      </c>
      <c r="E9" s="323">
        <f ca="1">(YEAR(NOW())-YEAR(C9))</f>
        <v>10</v>
      </c>
      <c r="F9" s="307"/>
      <c r="G9" s="292"/>
      <c r="H9" s="292"/>
      <c r="I9" s="292"/>
      <c r="J9" s="292"/>
      <c r="K9" s="292"/>
      <c r="L9" s="292"/>
      <c r="M9" s="292"/>
      <c r="N9" s="300"/>
      <c r="O9" s="292"/>
      <c r="P9" s="289"/>
      <c r="Q9" s="289"/>
      <c r="R9" s="291"/>
      <c r="S9" s="289"/>
      <c r="T9" s="324" t="s">
        <v>174</v>
      </c>
      <c r="U9" s="325"/>
      <c r="V9" s="326"/>
      <c r="W9" s="325"/>
      <c r="X9" s="325"/>
      <c r="Y9" s="325"/>
      <c r="Z9" s="325"/>
      <c r="AA9" s="327"/>
      <c r="AB9" s="292"/>
      <c r="AC9" s="292"/>
      <c r="AD9" s="292"/>
      <c r="AE9" s="328"/>
      <c r="AF9" s="1099" t="s">
        <v>167</v>
      </c>
      <c r="AG9" s="1099"/>
      <c r="AH9" s="1099"/>
      <c r="AI9" s="1099"/>
      <c r="AJ9" s="289"/>
      <c r="AK9" s="289"/>
      <c r="AL9" s="289"/>
      <c r="AM9" s="289"/>
      <c r="AN9" s="289"/>
      <c r="AO9" s="289"/>
      <c r="AP9" s="289"/>
      <c r="AQ9" s="289"/>
      <c r="AR9" s="289"/>
    </row>
    <row r="10" spans="1:44" x14ac:dyDescent="0.3">
      <c r="A10" s="289"/>
      <c r="B10" s="329" t="s">
        <v>20</v>
      </c>
      <c r="C10" s="330">
        <f>'Eingabe-Maske'!C10</f>
        <v>60</v>
      </c>
      <c r="D10" s="292"/>
      <c r="E10" s="299"/>
      <c r="F10" s="331" t="s">
        <v>173</v>
      </c>
      <c r="G10" s="292"/>
      <c r="H10" s="292"/>
      <c r="I10" s="292"/>
      <c r="J10" s="292"/>
      <c r="K10" s="292"/>
      <c r="L10" s="292"/>
      <c r="M10" s="292"/>
      <c r="N10" s="300"/>
      <c r="O10" s="292"/>
      <c r="P10" s="289"/>
      <c r="Q10" s="289"/>
      <c r="R10" s="291"/>
      <c r="S10" s="289"/>
      <c r="T10" s="332" t="s">
        <v>21</v>
      </c>
      <c r="U10" s="292"/>
      <c r="V10" s="333"/>
      <c r="W10" s="292"/>
      <c r="X10" s="292"/>
      <c r="Y10" s="292"/>
      <c r="Z10" s="292"/>
      <c r="AA10" s="334"/>
      <c r="AB10" s="292"/>
      <c r="AC10" s="292"/>
      <c r="AD10" s="292"/>
      <c r="AE10" s="313">
        <v>6</v>
      </c>
      <c r="AF10" s="308">
        <v>5.5</v>
      </c>
      <c r="AG10" s="308">
        <v>2.5</v>
      </c>
      <c r="AH10" s="308">
        <v>2</v>
      </c>
      <c r="AI10" s="308">
        <v>40</v>
      </c>
      <c r="AJ10" s="289"/>
      <c r="AK10" s="289"/>
      <c r="AL10" s="289"/>
      <c r="AM10" s="289"/>
      <c r="AN10" s="289"/>
      <c r="AO10" s="289"/>
      <c r="AP10" s="289"/>
      <c r="AQ10" s="289"/>
      <c r="AR10" s="289"/>
    </row>
    <row r="11" spans="1:44" x14ac:dyDescent="0.3">
      <c r="A11" s="289"/>
      <c r="B11" s="1096" t="s">
        <v>22</v>
      </c>
      <c r="C11" s="1097" t="s">
        <v>23</v>
      </c>
      <c r="D11" s="1098"/>
      <c r="E11" s="1098"/>
      <c r="F11" s="1097" t="s">
        <v>109</v>
      </c>
      <c r="G11" s="1097"/>
      <c r="H11" s="1097"/>
      <c r="I11" s="1100" t="s">
        <v>24</v>
      </c>
      <c r="J11" s="1100" t="s">
        <v>25</v>
      </c>
      <c r="K11" s="335"/>
      <c r="L11" s="292"/>
      <c r="M11" s="289"/>
      <c r="N11" s="300"/>
      <c r="O11" s="292"/>
      <c r="P11" s="289"/>
      <c r="Q11" s="289"/>
      <c r="R11" s="291"/>
      <c r="S11" s="289"/>
      <c r="T11" s="332" t="s">
        <v>26</v>
      </c>
      <c r="U11" s="292"/>
      <c r="V11" s="333"/>
      <c r="W11" s="292"/>
      <c r="X11" s="292"/>
      <c r="Y11" s="292"/>
      <c r="Z11" s="292"/>
      <c r="AA11" s="334"/>
      <c r="AB11" s="323"/>
      <c r="AC11" s="323"/>
      <c r="AD11" s="292"/>
      <c r="AE11" s="313">
        <v>7</v>
      </c>
      <c r="AF11" s="308">
        <v>6.5</v>
      </c>
      <c r="AG11" s="308">
        <v>2</v>
      </c>
      <c r="AH11" s="308">
        <v>2</v>
      </c>
      <c r="AI11" s="308">
        <v>40</v>
      </c>
      <c r="AJ11" s="289"/>
      <c r="AK11" s="289"/>
      <c r="AL11" s="289"/>
      <c r="AM11" s="289"/>
      <c r="AN11" s="289"/>
      <c r="AO11" s="289"/>
      <c r="AP11" s="289"/>
      <c r="AQ11" s="289"/>
      <c r="AR11" s="289"/>
    </row>
    <row r="12" spans="1:44" x14ac:dyDescent="0.3">
      <c r="A12" s="289"/>
      <c r="B12" s="1096"/>
      <c r="C12" s="1097"/>
      <c r="D12" s="1098"/>
      <c r="E12" s="1098"/>
      <c r="F12" s="336" t="s">
        <v>27</v>
      </c>
      <c r="G12" s="336" t="s">
        <v>28</v>
      </c>
      <c r="H12" s="336" t="s">
        <v>29</v>
      </c>
      <c r="I12" s="1100"/>
      <c r="J12" s="1100"/>
      <c r="K12" s="335"/>
      <c r="L12" s="337"/>
      <c r="M12" s="337"/>
      <c r="N12" s="338"/>
      <c r="O12" s="337"/>
      <c r="P12" s="289"/>
      <c r="Q12" s="289"/>
      <c r="R12" s="291"/>
      <c r="S12" s="289"/>
      <c r="T12" s="339" t="s">
        <v>30</v>
      </c>
      <c r="U12" s="340"/>
      <c r="V12" s="341"/>
      <c r="W12" s="340"/>
      <c r="X12" s="340"/>
      <c r="Y12" s="340"/>
      <c r="Z12" s="340"/>
      <c r="AA12" s="342"/>
      <c r="AB12" s="292"/>
      <c r="AC12" s="292"/>
      <c r="AD12" s="292"/>
      <c r="AE12" s="311" t="s">
        <v>161</v>
      </c>
      <c r="AF12" s="308">
        <v>7</v>
      </c>
      <c r="AG12" s="308">
        <v>2.5</v>
      </c>
      <c r="AH12" s="308">
        <v>2</v>
      </c>
      <c r="AI12" s="308">
        <v>40</v>
      </c>
      <c r="AJ12" s="289"/>
      <c r="AK12" s="289"/>
      <c r="AL12" s="289"/>
      <c r="AM12" s="289"/>
      <c r="AN12" s="289"/>
      <c r="AO12" s="289"/>
      <c r="AP12" s="289"/>
      <c r="AQ12" s="289"/>
      <c r="AR12" s="289"/>
    </row>
    <row r="13" spans="1:44" x14ac:dyDescent="0.3">
      <c r="A13" s="289"/>
      <c r="B13" s="1086">
        <v>4</v>
      </c>
      <c r="C13" s="1087" t="s">
        <v>31</v>
      </c>
      <c r="D13" s="343"/>
      <c r="E13" s="344" t="s">
        <v>32</v>
      </c>
      <c r="F13" s="345" t="str">
        <f>IF(ISNUMBER('Eingabe-Maske'!F13)=TRUE,'Eingabe-Maske'!F13," ")</f>
        <v xml:space="preserve"> </v>
      </c>
      <c r="G13" s="345" t="str">
        <f>IF(ISNUMBER('Eingabe-Maske'!G13)=TRUE,'Eingabe-Maske'!G13," ")</f>
        <v xml:space="preserve"> </v>
      </c>
      <c r="H13" s="345" t="str">
        <f>IF(ISNUMBER('Eingabe-Maske'!H13)=TRUE,'Eingabe-Maske'!H13," ")</f>
        <v xml:space="preserve"> </v>
      </c>
      <c r="I13" s="345" t="str">
        <f>IF(ISNUMBER('Eingabe-Maske'!I13)=TRUE,'Eingabe-Maske'!I13," ")</f>
        <v xml:space="preserve"> </v>
      </c>
      <c r="J13" s="1095">
        <f>'Eingabe-Maske'!J13:J14</f>
        <v>0</v>
      </c>
      <c r="K13" s="333"/>
      <c r="L13" s="337" t="s">
        <v>33</v>
      </c>
      <c r="M13" s="292"/>
      <c r="N13" s="300"/>
      <c r="O13" s="292"/>
      <c r="P13" s="289"/>
      <c r="Q13" s="289"/>
      <c r="R13" s="291"/>
      <c r="S13" s="289"/>
      <c r="T13" s="289"/>
      <c r="U13" s="289"/>
      <c r="V13" s="289"/>
      <c r="W13" s="289"/>
      <c r="X13" s="289"/>
      <c r="Y13" s="289"/>
      <c r="Z13" s="292"/>
      <c r="AA13" s="292"/>
      <c r="AB13" s="292"/>
      <c r="AC13" s="292"/>
      <c r="AD13" s="292"/>
      <c r="AE13" s="320" t="s">
        <v>247</v>
      </c>
      <c r="AF13" s="308">
        <v>11</v>
      </c>
      <c r="AG13" s="308">
        <v>5</v>
      </c>
      <c r="AH13" s="308">
        <v>2</v>
      </c>
      <c r="AI13" s="308">
        <v>40</v>
      </c>
      <c r="AJ13" s="289"/>
      <c r="AK13" s="289"/>
      <c r="AL13" s="289"/>
      <c r="AM13" s="289"/>
      <c r="AN13" s="289"/>
      <c r="AO13" s="289"/>
      <c r="AP13" s="289"/>
      <c r="AQ13" s="289"/>
      <c r="AR13" s="289"/>
    </row>
    <row r="14" spans="1:44" x14ac:dyDescent="0.3">
      <c r="A14" s="289"/>
      <c r="B14" s="1086"/>
      <c r="C14" s="1087"/>
      <c r="D14" s="346"/>
      <c r="E14" s="344" t="s">
        <v>34</v>
      </c>
      <c r="F14" s="345" t="str">
        <f>IF(ISNUMBER('Eingabe-Maske'!F14)=TRUE,'Eingabe-Maske'!F14," ")</f>
        <v xml:space="preserve"> </v>
      </c>
      <c r="G14" s="345" t="str">
        <f>IF(ISNUMBER('Eingabe-Maske'!G14)=TRUE,'Eingabe-Maske'!G14," ")</f>
        <v xml:space="preserve"> </v>
      </c>
      <c r="H14" s="345" t="str">
        <f>IF(ISNUMBER('Eingabe-Maske'!H14)=TRUE,'Eingabe-Maske'!H14," ")</f>
        <v xml:space="preserve"> </v>
      </c>
      <c r="I14" s="345"/>
      <c r="J14" s="1095"/>
      <c r="K14" s="333"/>
      <c r="L14" s="337" t="s">
        <v>35</v>
      </c>
      <c r="M14" s="292"/>
      <c r="N14" s="300"/>
      <c r="O14" s="292"/>
      <c r="P14" s="289"/>
      <c r="Q14" s="289"/>
      <c r="R14" s="291"/>
      <c r="S14" s="289"/>
      <c r="T14" s="289"/>
      <c r="U14" s="289"/>
      <c r="V14" s="289" t="s">
        <v>150</v>
      </c>
      <c r="W14" s="289"/>
      <c r="X14" s="289" t="s">
        <v>149</v>
      </c>
      <c r="Y14" s="289"/>
      <c r="Z14" s="292"/>
      <c r="AA14" s="292"/>
      <c r="AB14" s="292"/>
      <c r="AC14" s="292"/>
      <c r="AD14" s="292"/>
      <c r="AE14" s="347" t="s">
        <v>169</v>
      </c>
      <c r="AF14" s="348" t="s">
        <v>170</v>
      </c>
      <c r="AG14" s="348" t="s">
        <v>162</v>
      </c>
      <c r="AH14" s="348" t="s">
        <v>165</v>
      </c>
      <c r="AI14" s="349" t="s">
        <v>164</v>
      </c>
      <c r="AJ14" s="289"/>
      <c r="AK14" s="289"/>
      <c r="AL14" s="289"/>
      <c r="AM14" s="289"/>
      <c r="AN14" s="289"/>
      <c r="AO14" s="289"/>
      <c r="AP14" s="289"/>
      <c r="AQ14" s="289"/>
      <c r="AR14" s="289"/>
    </row>
    <row r="15" spans="1:44" x14ac:dyDescent="0.3">
      <c r="A15" s="289"/>
      <c r="B15" s="1086" t="s">
        <v>36</v>
      </c>
      <c r="C15" s="1087" t="s">
        <v>37</v>
      </c>
      <c r="D15" s="346"/>
      <c r="E15" s="344" t="s">
        <v>32</v>
      </c>
      <c r="F15" s="345">
        <f>IF(ISNUMBER('Eingabe-Maske'!F15)=TRUE,'Eingabe-Maske'!F15," ")</f>
        <v>0.25</v>
      </c>
      <c r="G15" s="345" t="str">
        <f>IF(ISNUMBER('Eingabe-Maske'!G15)=TRUE,'Eingabe-Maske'!G15," ")</f>
        <v xml:space="preserve"> </v>
      </c>
      <c r="H15" s="345" t="str">
        <f>IF(ISNUMBER('Eingabe-Maske'!H15)=TRUE,'Eingabe-Maske'!H15," ")</f>
        <v xml:space="preserve"> </v>
      </c>
      <c r="I15" s="345" t="str">
        <f>IF(ISNUMBER('Eingabe-Maske'!I15)=TRUE,'Eingabe-Maske'!I15," ")</f>
        <v xml:space="preserve"> </v>
      </c>
      <c r="J15" s="1095">
        <f>'Eingabe-Maske'!J15:J16</f>
        <v>0</v>
      </c>
      <c r="K15" s="333"/>
      <c r="L15" s="292"/>
      <c r="M15" s="292"/>
      <c r="N15" s="300"/>
      <c r="O15" s="292"/>
      <c r="P15" s="350"/>
      <c r="Q15" s="289"/>
      <c r="R15" s="291"/>
      <c r="S15" s="289"/>
      <c r="T15" s="1089" t="s">
        <v>154</v>
      </c>
      <c r="U15" s="1089"/>
      <c r="V15" s="1089"/>
      <c r="W15" s="1089"/>
      <c r="X15" s="1090"/>
      <c r="Y15" s="351"/>
      <c r="Z15" s="352"/>
      <c r="AA15" s="352"/>
      <c r="AB15" s="353"/>
      <c r="AC15" s="354"/>
      <c r="AD15" s="292"/>
      <c r="AE15" s="347" t="s">
        <v>171</v>
      </c>
      <c r="AF15" s="348">
        <f ca="1">INDEX($AF$5:$AI$8,IF($E$9&lt;=6,1,IF($E$9=7,2,IF(AND($E$9&gt;=8,$E$9&lt;=12),3,4))),1)</f>
        <v>5</v>
      </c>
      <c r="AG15" s="348">
        <f ca="1">INDEX($AF$5:$AI$8,IF($E$9&lt;=6,1,IF($E$9=7,2,IF(AND($E$9&gt;=8,$E$9&lt;=12),3,4))),2)</f>
        <v>2.5</v>
      </c>
      <c r="AH15" s="348">
        <f ca="1">INDEX($AF$5:$AI$8,IF($E$9&lt;=6,1,IF($E$9=7,2,IF(AND($E$9&gt;=8,$E$9&lt;=12),3,4))),3)</f>
        <v>2</v>
      </c>
      <c r="AI15" s="349">
        <f ca="1">INDEX($AF$5:$AI$8,IF($E$9&lt;=6,1,IF($E$9=7,2,IF(AND($E$9&gt;=8,$E$9&lt;=12),3,4))),4)</f>
        <v>40</v>
      </c>
      <c r="AJ15" s="289"/>
      <c r="AK15" s="289"/>
      <c r="AL15" s="289"/>
      <c r="AM15" s="289"/>
      <c r="AN15" s="289"/>
      <c r="AO15" s="289"/>
      <c r="AP15" s="289"/>
      <c r="AQ15" s="289"/>
      <c r="AR15" s="289"/>
    </row>
    <row r="16" spans="1:44" ht="15" thickBot="1" x14ac:dyDescent="0.35">
      <c r="A16" s="289"/>
      <c r="B16" s="1086"/>
      <c r="C16" s="1087"/>
      <c r="D16" s="355"/>
      <c r="E16" s="344" t="s">
        <v>34</v>
      </c>
      <c r="F16" s="345">
        <f>IF(ISNUMBER('Eingabe-Maske'!F16)=TRUE,'Eingabe-Maske'!F16,"")</f>
        <v>0.25</v>
      </c>
      <c r="G16" s="345" t="str">
        <f>IF(ISNUMBER('Eingabe-Maske'!G16)=TRUE,'Eingabe-Maske'!G16," ")</f>
        <v xml:space="preserve"> </v>
      </c>
      <c r="H16" s="345" t="str">
        <f>IF(ISNUMBER('Eingabe-Maske'!H16)=TRUE,'Eingabe-Maske'!H16," ")</f>
        <v xml:space="preserve"> </v>
      </c>
      <c r="I16" s="345" t="str">
        <f>IF(ISNUMBER('Eingabe-Maske'!I16)=TRUE,'Eingabe-Maske'!I16," ")</f>
        <v xml:space="preserve"> </v>
      </c>
      <c r="J16" s="1095"/>
      <c r="K16" s="333"/>
      <c r="L16" s="292"/>
      <c r="M16" s="356" t="s">
        <v>244</v>
      </c>
      <c r="N16" s="357" t="s">
        <v>38</v>
      </c>
      <c r="O16" s="358" t="s">
        <v>39</v>
      </c>
      <c r="P16" s="289" t="s">
        <v>40</v>
      </c>
      <c r="Q16" s="359" t="s">
        <v>41</v>
      </c>
      <c r="R16" s="323"/>
      <c r="S16" s="299"/>
      <c r="T16" s="360" t="s">
        <v>42</v>
      </c>
      <c r="U16" s="361" t="s">
        <v>94</v>
      </c>
      <c r="V16" s="362" t="s">
        <v>95</v>
      </c>
      <c r="W16" s="363" t="s">
        <v>96</v>
      </c>
      <c r="X16" s="364" t="s">
        <v>97</v>
      </c>
      <c r="Y16" s="365" t="s">
        <v>192</v>
      </c>
      <c r="Z16" s="366" t="s">
        <v>193</v>
      </c>
      <c r="AA16" s="367" t="s">
        <v>224</v>
      </c>
      <c r="AB16" s="368" t="s">
        <v>233</v>
      </c>
      <c r="AC16" s="369"/>
      <c r="AD16" s="292"/>
      <c r="AE16" s="370" t="s">
        <v>172</v>
      </c>
      <c r="AF16" s="371">
        <f ca="1">INDEX($AF$10:$AI$13,IF($E$9&lt;=6,1,IF($E$9=7,2,IF(AND($E$9&gt;=8,$E$9&lt;=12),3,IF(AND($E$9&gt;=13,$E$9&lt;=30),4)))),1)</f>
        <v>7</v>
      </c>
      <c r="AG16" s="371">
        <f ca="1">INDEX($AF$10:$AI$13,IF($E$9&lt;=6,1,IF($E$9=7,2,IF(AND($E$9&gt;=8,$E$9&lt;=12),3,IF(AND($E$9&gt;=13,$E$9&lt;=40),4)))),2)</f>
        <v>2.5</v>
      </c>
      <c r="AH16" s="371">
        <f ca="1">INDEX($AF$10:$AI$13,IF($E$9&lt;=6,1,IF($E$9=7,2,IF(AND($E$9&gt;=8,$E$9&lt;=12),3,IF(AND($E$9&gt;=13,$E$9&lt;=40),4)))),3)</f>
        <v>2</v>
      </c>
      <c r="AI16" s="372">
        <f ca="1">INDEX($AF$10:$AI$13,IF($E$9&lt;=6,1,IF($E$9=7,2,IF(AND($E$9&gt;=8,$E$9&lt;=12),3,IF(AND($E$9&gt;=13,$E$9&lt;=40),4)))),4)</f>
        <v>40</v>
      </c>
      <c r="AJ16" s="289"/>
      <c r="AK16" s="289"/>
      <c r="AL16" s="289"/>
      <c r="AM16" s="289"/>
      <c r="AN16" s="289"/>
      <c r="AO16" s="289"/>
      <c r="AP16" s="289"/>
      <c r="AQ16" s="289"/>
      <c r="AR16" s="289"/>
    </row>
    <row r="17" spans="1:44" ht="15" thickTop="1" x14ac:dyDescent="0.3">
      <c r="A17" s="289"/>
      <c r="B17" s="373">
        <v>8</v>
      </c>
      <c r="C17" s="374" t="s">
        <v>43</v>
      </c>
      <c r="D17" s="344" t="s">
        <v>44</v>
      </c>
      <c r="E17" s="375"/>
      <c r="F17" s="376">
        <f>IF(ISNUMBER('Eingabe-Maske'!F17)=TRUE,'Eingabe-Maske'!F17,"")</f>
        <v>-20</v>
      </c>
      <c r="G17" s="377" t="s">
        <v>92</v>
      </c>
      <c r="H17" s="377"/>
      <c r="I17" s="378"/>
      <c r="J17" s="378"/>
      <c r="K17" s="379">
        <f>F17</f>
        <v>-20</v>
      </c>
      <c r="L17" s="291" t="s">
        <v>210</v>
      </c>
      <c r="M17" s="299">
        <v>-0.5</v>
      </c>
      <c r="N17" s="357">
        <v>1.7</v>
      </c>
      <c r="O17" s="358">
        <v>3</v>
      </c>
      <c r="P17" s="380">
        <f>('Eingabe-Maske'!F17-M17)/N17</f>
        <v>-11.470588235294118</v>
      </c>
      <c r="Q17" s="381">
        <f>IF(ISBLANK('Eingabe-Maske'!F17)=TRUE,-10,IF(P17&lt;(-3),0,IF(P17&lt;(-2),1,IF(P17&lt;(-1),2,IF(P17&lt;(1),3,IF(P17&lt;(2),4,IF(P17&lt;(3),5,6)))))))</f>
        <v>0</v>
      </c>
      <c r="R17" s="382" t="s">
        <v>210</v>
      </c>
      <c r="S17" s="1091" t="s">
        <v>121</v>
      </c>
      <c r="T17" s="383"/>
      <c r="U17" s="384"/>
      <c r="V17" s="385"/>
      <c r="W17" s="384"/>
      <c r="X17" s="386"/>
      <c r="Y17" s="387"/>
      <c r="Z17" s="388"/>
      <c r="AA17" s="389"/>
      <c r="AB17" s="323"/>
      <c r="AC17" s="390"/>
      <c r="AD17" s="292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</row>
    <row r="18" spans="1:44" x14ac:dyDescent="0.3">
      <c r="A18" s="289"/>
      <c r="B18" s="391"/>
      <c r="C18" s="392"/>
      <c r="D18" s="393"/>
      <c r="E18" s="394"/>
      <c r="F18" s="395"/>
      <c r="G18" s="396"/>
      <c r="H18" s="396"/>
      <c r="I18" s="379"/>
      <c r="J18" s="379"/>
      <c r="K18" s="379">
        <f>F20</f>
        <v>8</v>
      </c>
      <c r="L18" s="397" t="s">
        <v>83</v>
      </c>
      <c r="M18" s="299">
        <v>8</v>
      </c>
      <c r="N18" s="357">
        <v>3</v>
      </c>
      <c r="O18" s="358">
        <v>1</v>
      </c>
      <c r="P18" s="380">
        <f>('Eingabe-Maske'!F20-M18)/N18</f>
        <v>0</v>
      </c>
      <c r="Q18" s="398">
        <f>IF(ISBLANK('Eingabe-Maske'!F20)=TRUE,-10,IF(P18&lt;(-3),0,IF(P18&lt;(-2),1,IF(P18&lt;(-1),2,IF(P18&lt;(1),3,IF(P18&lt;(2),4,IF(P18&lt;(3),4,4)))))))</f>
        <v>3</v>
      </c>
      <c r="R18" s="397" t="s">
        <v>83</v>
      </c>
      <c r="S18" s="1091"/>
      <c r="T18" s="399" t="s">
        <v>88</v>
      </c>
      <c r="U18" s="400">
        <f>IF(Q18&lt;0,"",Q18*10)</f>
        <v>30</v>
      </c>
      <c r="V18" s="385"/>
      <c r="W18" s="384"/>
      <c r="X18" s="386"/>
      <c r="Y18" s="387"/>
      <c r="Z18" s="388"/>
      <c r="AA18" s="401"/>
      <c r="AB18" s="323"/>
      <c r="AC18" s="390"/>
      <c r="AD18" s="292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</row>
    <row r="19" spans="1:44" x14ac:dyDescent="0.3">
      <c r="A19" s="289"/>
      <c r="B19" s="402"/>
      <c r="C19" s="403"/>
      <c r="D19" s="404"/>
      <c r="E19" s="405"/>
      <c r="F19" s="406" t="s">
        <v>74</v>
      </c>
      <c r="G19" s="407" t="s">
        <v>75</v>
      </c>
      <c r="H19" s="408" t="s">
        <v>73</v>
      </c>
      <c r="I19" s="409"/>
      <c r="J19" s="379"/>
      <c r="K19" s="410">
        <f>G20</f>
        <v>19</v>
      </c>
      <c r="L19" s="397" t="s">
        <v>84</v>
      </c>
      <c r="M19" s="299">
        <v>19</v>
      </c>
      <c r="N19" s="357">
        <v>4.5999999999999996</v>
      </c>
      <c r="O19" s="358">
        <v>1</v>
      </c>
      <c r="P19" s="380">
        <f>('Eingabe-Maske'!G20-M19)/N19</f>
        <v>0</v>
      </c>
      <c r="Q19" s="398">
        <f>IF(ISBLANK('Eingabe-Maske'!G20)=TRUE,-10,IF(P19&lt;(-3),0,IF(P19&lt;(-2),1,IF(P19&lt;(-1),2,IF(P19&lt;(1),3,IF(P19&lt;(2),4,IF(P19&lt;(3),4,4)))))))</f>
        <v>3</v>
      </c>
      <c r="R19" s="397" t="s">
        <v>84</v>
      </c>
      <c r="S19" s="1091"/>
      <c r="T19" s="399" t="s">
        <v>88</v>
      </c>
      <c r="U19" s="400">
        <f>IF(Q19&lt;0,"",Q19*10)</f>
        <v>30</v>
      </c>
      <c r="V19" s="384"/>
      <c r="W19" s="384"/>
      <c r="X19" s="411"/>
      <c r="Y19" s="384"/>
      <c r="Z19" s="388"/>
      <c r="AA19" s="412"/>
      <c r="AB19" s="323"/>
      <c r="AC19" s="390"/>
      <c r="AD19" s="315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</row>
    <row r="20" spans="1:44" x14ac:dyDescent="0.3">
      <c r="A20" s="289"/>
      <c r="B20" s="413" t="s">
        <v>82</v>
      </c>
      <c r="C20" s="374" t="s">
        <v>80</v>
      </c>
      <c r="D20" s="344" t="s">
        <v>45</v>
      </c>
      <c r="E20" s="414"/>
      <c r="F20" s="415">
        <f>IF(ISNUMBER('Eingabe-Maske'!F20)=TRUE,'Eingabe-Maske'!F20," ")</f>
        <v>8</v>
      </c>
      <c r="G20" s="415">
        <f>IF(ISNUMBER('Eingabe-Maske'!G20)=TRUE,'Eingabe-Maske'!G20," ")</f>
        <v>19</v>
      </c>
      <c r="H20" s="415" t="str">
        <f>IF(ISNUMBER('Eingabe-Maske'!H20)=TRUE,'Eingabe-Maske'!H20," ")</f>
        <v xml:space="preserve"> </v>
      </c>
      <c r="I20" s="379"/>
      <c r="J20" s="379"/>
      <c r="K20" s="416" t="str">
        <f>H20</f>
        <v xml:space="preserve"> </v>
      </c>
      <c r="L20" s="417" t="s">
        <v>89</v>
      </c>
      <c r="M20" s="323">
        <v>9</v>
      </c>
      <c r="N20" s="418">
        <v>3</v>
      </c>
      <c r="O20" s="419">
        <v>1</v>
      </c>
      <c r="P20" s="380">
        <f>('Eingabe-Maske'!H20-M20)/N20</f>
        <v>-3</v>
      </c>
      <c r="Q20" s="398">
        <f>IF(ISBLANK('Eingabe-Maske'!H20)=TRUE,-10,IF(P20&lt;(-3),0,IF(P20&lt;(-2),1,IF(P20&lt;(-1),2,IF(P20&lt;(1),3,IF(P20&lt;(2),4,IF(P20&lt;(3),4,4)))))))</f>
        <v>-10</v>
      </c>
      <c r="R20" s="417" t="s">
        <v>89</v>
      </c>
      <c r="S20" s="1091"/>
      <c r="T20" s="289" t="s">
        <v>88</v>
      </c>
      <c r="U20" s="400" t="str">
        <f>IF(Q20&lt;0,"",Q20*10)</f>
        <v/>
      </c>
      <c r="V20" s="384"/>
      <c r="W20" s="384"/>
      <c r="X20" s="411"/>
      <c r="Y20" s="384"/>
      <c r="Z20" s="388"/>
      <c r="AA20" s="420"/>
      <c r="AB20" s="323"/>
      <c r="AC20" s="390"/>
      <c r="AD20" s="292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</row>
    <row r="21" spans="1:44" x14ac:dyDescent="0.3">
      <c r="A21" s="289"/>
      <c r="B21" s="373">
        <v>11</v>
      </c>
      <c r="C21" s="374" t="s">
        <v>81</v>
      </c>
      <c r="D21" s="344" t="s">
        <v>46</v>
      </c>
      <c r="E21" s="421"/>
      <c r="F21" s="415" t="str">
        <f>IF(ISNUMBER('Eingabe-Maske'!F21)=TRUE,'Eingabe-Maske'!F21," ")</f>
        <v xml:space="preserve"> </v>
      </c>
      <c r="G21" s="415">
        <f>IF(ISNUMBER('Eingabe-Maske'!G21)=TRUE,'Eingabe-Maske'!G21," ")</f>
        <v>8</v>
      </c>
      <c r="H21" s="415">
        <f>IF(ISNUMBER('Eingabe-Maske'!H21)=TRUE,'Eingabe-Maske'!H21," ")</f>
        <v>3.5</v>
      </c>
      <c r="I21" s="422"/>
      <c r="J21" s="422"/>
      <c r="K21" s="423">
        <f>G21</f>
        <v>8</v>
      </c>
      <c r="L21" s="397" t="s">
        <v>85</v>
      </c>
      <c r="M21" s="299">
        <v>8</v>
      </c>
      <c r="N21" s="357">
        <v>2.2000000000000002</v>
      </c>
      <c r="O21" s="358">
        <v>1</v>
      </c>
      <c r="P21" s="380">
        <f>('Eingabe-Maske'!G21-M21)/N21</f>
        <v>0</v>
      </c>
      <c r="Q21" s="398">
        <f>IF(ISBLANK('Eingabe-Maske'!G21)=TRUE,-10,IF(P21&lt;(-3),0,IF(P21&lt;(-2),1,IF(P21&lt;(-1),2,IF(P21&lt;(1),3,IF(P21&lt;(2),4,IF(P21&lt;(3),4,4)))))))</f>
        <v>3</v>
      </c>
      <c r="R21" s="397" t="s">
        <v>85</v>
      </c>
      <c r="S21" s="1091"/>
      <c r="T21" s="399" t="s">
        <v>100</v>
      </c>
      <c r="U21" s="384"/>
      <c r="V21" s="385"/>
      <c r="W21" s="424">
        <f>IF(Q21&lt;0," ",Q21*10)</f>
        <v>30</v>
      </c>
      <c r="X21" s="425"/>
      <c r="Y21" s="384"/>
      <c r="Z21" s="388"/>
      <c r="AA21" s="426"/>
      <c r="AB21" s="323"/>
      <c r="AC21" s="390"/>
      <c r="AD21" s="292"/>
      <c r="AE21" s="289"/>
      <c r="AF21" s="289"/>
      <c r="AG21" s="289"/>
      <c r="AH21" s="289"/>
      <c r="AI21" s="289"/>
      <c r="AJ21" s="427"/>
      <c r="AK21" s="333"/>
      <c r="AL21" s="333"/>
      <c r="AM21" s="333"/>
      <c r="AN21" s="333"/>
      <c r="AO21" s="289"/>
      <c r="AP21" s="289"/>
      <c r="AQ21" s="289"/>
      <c r="AR21" s="289"/>
    </row>
    <row r="22" spans="1:44" x14ac:dyDescent="0.3">
      <c r="A22" s="289"/>
      <c r="B22" s="428"/>
      <c r="C22" s="429"/>
      <c r="D22" s="430"/>
      <c r="E22" s="431"/>
      <c r="F22" s="432"/>
      <c r="G22" s="410"/>
      <c r="H22" s="410"/>
      <c r="I22" s="410"/>
      <c r="J22" s="410"/>
      <c r="K22" s="416">
        <f>H21</f>
        <v>3.5</v>
      </c>
      <c r="L22" s="397" t="s">
        <v>86</v>
      </c>
      <c r="M22" s="299">
        <v>3.5</v>
      </c>
      <c r="N22" s="357">
        <v>1.8</v>
      </c>
      <c r="O22" s="358">
        <v>1</v>
      </c>
      <c r="P22" s="380">
        <f>('Eingabe-Maske'!H21-M22)/N22</f>
        <v>0</v>
      </c>
      <c r="Q22" s="398">
        <f>IF(ISBLANK('Eingabe-Maske'!H21)=TRUE,-10,IF(P22&lt;(-3),0,IF(P22&lt;(-2),1,IF(P22&lt;(-1),2,IF(P22&lt;(1),3,IF(P22&lt;(2),4,IF(P22&lt;(3),4,4)))))))</f>
        <v>3</v>
      </c>
      <c r="R22" s="397" t="s">
        <v>86</v>
      </c>
      <c r="S22" s="1091"/>
      <c r="T22" s="399" t="s">
        <v>100</v>
      </c>
      <c r="U22" s="383"/>
      <c r="V22" s="385"/>
      <c r="W22" s="424">
        <f>IF(Q22&lt;0," ",Q22*10)</f>
        <v>30</v>
      </c>
      <c r="X22" s="425"/>
      <c r="Y22" s="384"/>
      <c r="Z22" s="388"/>
      <c r="AA22" s="426"/>
      <c r="AB22" s="323"/>
      <c r="AC22" s="390"/>
      <c r="AD22" s="292"/>
      <c r="AE22" s="289"/>
      <c r="AF22" s="289"/>
      <c r="AG22" s="289"/>
      <c r="AH22" s="289"/>
      <c r="AI22" s="289"/>
      <c r="AJ22" s="433"/>
      <c r="AK22" s="333"/>
      <c r="AL22" s="333"/>
      <c r="AM22" s="333"/>
      <c r="AN22" s="333"/>
      <c r="AO22" s="289"/>
      <c r="AP22" s="289"/>
      <c r="AQ22" s="289"/>
      <c r="AR22" s="289"/>
    </row>
    <row r="23" spans="1:44" ht="15" customHeight="1" thickBot="1" x14ac:dyDescent="0.35">
      <c r="A23" s="289"/>
      <c r="B23" s="373" t="s">
        <v>47</v>
      </c>
      <c r="C23" s="374" t="s">
        <v>48</v>
      </c>
      <c r="D23" s="434" t="s">
        <v>44</v>
      </c>
      <c r="E23" s="435"/>
      <c r="F23" s="376">
        <f>IF(ISNUMBER('Eingabe-Maske'!F23)=TRUE,'Eingabe-Maske'!F23,"")</f>
        <v>-6</v>
      </c>
      <c r="G23" s="436" t="s">
        <v>92</v>
      </c>
      <c r="H23" s="437"/>
      <c r="I23" s="410"/>
      <c r="J23" s="410"/>
      <c r="K23" s="410">
        <f>F23</f>
        <v>-6</v>
      </c>
      <c r="L23" s="291" t="s">
        <v>211</v>
      </c>
      <c r="M23" s="299">
        <v>-4</v>
      </c>
      <c r="N23" s="357">
        <v>3.5</v>
      </c>
      <c r="O23" s="358">
        <v>3</v>
      </c>
      <c r="P23" s="380">
        <f>('Eingabe-Maske'!F23-M23)/N23</f>
        <v>-0.5714285714285714</v>
      </c>
      <c r="Q23" s="381">
        <f>IF(ISBLANK('Eingabe-Maske'!F23)=TRUE,-10,IF(P23&lt;(-3),0,IF(P23&lt;(-2),1,IF(P23&lt;(-1),2,IF(P23&lt;(1),3,IF(P23&lt;(2),4,IF(P23&lt;(3),5,6)))))))</f>
        <v>3</v>
      </c>
      <c r="R23" s="382" t="s">
        <v>211</v>
      </c>
      <c r="S23" s="1091" t="s">
        <v>122</v>
      </c>
      <c r="T23" s="438"/>
      <c r="U23" s="438"/>
      <c r="V23" s="439"/>
      <c r="W23" s="440"/>
      <c r="X23" s="441"/>
      <c r="Y23" s="384"/>
      <c r="Z23" s="388"/>
      <c r="AA23" s="426"/>
      <c r="AB23" s="369"/>
      <c r="AC23" s="390"/>
      <c r="AD23" s="292"/>
      <c r="AE23" s="289"/>
      <c r="AF23" s="289"/>
      <c r="AG23" s="289"/>
      <c r="AH23" s="289"/>
      <c r="AI23" s="289"/>
      <c r="AJ23" s="427"/>
      <c r="AK23" s="427"/>
      <c r="AL23" s="427"/>
      <c r="AM23" s="333"/>
      <c r="AN23" s="333"/>
      <c r="AO23" s="289"/>
      <c r="AP23" s="289"/>
      <c r="AQ23" s="289"/>
      <c r="AR23" s="289"/>
    </row>
    <row r="24" spans="1:44" ht="15" thickTop="1" x14ac:dyDescent="0.3">
      <c r="A24" s="289"/>
      <c r="B24" s="1086" t="s">
        <v>49</v>
      </c>
      <c r="C24" s="1087" t="s">
        <v>50</v>
      </c>
      <c r="D24" s="343"/>
      <c r="E24" s="344" t="s">
        <v>32</v>
      </c>
      <c r="F24" s="442" t="str">
        <f>IF(ISNUMBER('Eingabe-Maske'!F24)=TRUE,'Eingabe-Maske'!F24," ")</f>
        <v xml:space="preserve"> </v>
      </c>
      <c r="G24" s="436"/>
      <c r="H24" s="437"/>
      <c r="I24" s="431"/>
      <c r="J24" s="410"/>
      <c r="K24" s="443">
        <f>'Eingabe-Maske'!F24-F$15</f>
        <v>-0.25</v>
      </c>
      <c r="L24" s="444" t="s">
        <v>50</v>
      </c>
      <c r="M24" s="299">
        <v>1.25</v>
      </c>
      <c r="N24" s="357">
        <v>0.375</v>
      </c>
      <c r="O24" s="358">
        <v>2</v>
      </c>
      <c r="P24" s="445">
        <f>('Eingabe-Maske'!F24-F$15-M24)/N24</f>
        <v>-4</v>
      </c>
      <c r="Q24" s="398">
        <f>IF(ISBLANK('Eingabe-Maske'!F24)=TRUE,-10,IF(P24&lt;(-3),0,IF(P24&lt;(-2),1,IF(P24&lt;(-1),2,IF(P24&lt;(1),3,IF(P24&lt;(2),2,IF(P24&lt;(3),1,0)))))))</f>
        <v>-10</v>
      </c>
      <c r="R24" s="444" t="s">
        <v>50</v>
      </c>
      <c r="S24" s="1091"/>
      <c r="T24" s="399"/>
      <c r="U24" s="383"/>
      <c r="V24" s="446"/>
      <c r="W24" s="384"/>
      <c r="X24" s="425"/>
      <c r="Y24" s="447" t="str">
        <f>IF(Q24&lt;0,"",IF(P24&gt;=0,Q24*10,""))</f>
        <v/>
      </c>
      <c r="Z24" s="448" t="str">
        <f>IF(Q24&lt;0,"",IF(P24&lt;=0,Q24*10,""))</f>
        <v/>
      </c>
      <c r="AA24" s="426" t="str">
        <f>IF(Q24&lt;0," ",Q24*10)</f>
        <v xml:space="preserve"> </v>
      </c>
      <c r="AB24" s="323"/>
      <c r="AC24" s="449" t="s">
        <v>50</v>
      </c>
      <c r="AD24" s="292"/>
      <c r="AE24" s="450" t="s">
        <v>212</v>
      </c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2"/>
      <c r="AQ24" s="289"/>
      <c r="AR24" s="289"/>
    </row>
    <row r="25" spans="1:44" x14ac:dyDescent="0.3">
      <c r="A25" s="289"/>
      <c r="B25" s="1086"/>
      <c r="C25" s="1087"/>
      <c r="D25" s="346"/>
      <c r="E25" s="344" t="s">
        <v>34</v>
      </c>
      <c r="F25" s="345" t="str">
        <f>IF(ISNUMBER('Eingabe-Maske'!F25)=TRUE,'Eingabe-Maske'!F25," ")</f>
        <v xml:space="preserve"> </v>
      </c>
      <c r="G25" s="436"/>
      <c r="H25" s="437"/>
      <c r="I25" s="431"/>
      <c r="J25" s="410"/>
      <c r="K25" s="443">
        <f>'Eingabe-Maske'!F25-F$16</f>
        <v>-0.25</v>
      </c>
      <c r="L25" s="444" t="s">
        <v>50</v>
      </c>
      <c r="M25" s="299">
        <v>1.25</v>
      </c>
      <c r="N25" s="357">
        <v>0.375</v>
      </c>
      <c r="O25" s="358">
        <v>2</v>
      </c>
      <c r="P25" s="445">
        <f>('Eingabe-Maske'!F25-F$16-M25)/N25</f>
        <v>-4</v>
      </c>
      <c r="Q25" s="398">
        <f>IF(ISBLANK('Eingabe-Maske'!F25)=TRUE,-10,IF(P25&lt;(-3),0,IF(P25&lt;(-2),1,IF(P25&lt;(-1),2,IF(P25&lt;(1),3,IF(P25&lt;(2),2,IF(P25&lt;(3),1,0)))))))</f>
        <v>-10</v>
      </c>
      <c r="R25" s="444" t="s">
        <v>50</v>
      </c>
      <c r="S25" s="1091"/>
      <c r="T25" s="399"/>
      <c r="U25" s="383"/>
      <c r="V25" s="446"/>
      <c r="W25" s="384"/>
      <c r="X25" s="425"/>
      <c r="Y25" s="447" t="str">
        <f>IF(Q25&lt;0,"",IF(P25&gt;=0,Q25*10,""))</f>
        <v/>
      </c>
      <c r="Z25" s="448" t="str">
        <f>IF(Q25&lt;0,"",IF(P25&lt;=0,Q25*10,""))</f>
        <v/>
      </c>
      <c r="AA25" s="426" t="str">
        <f>IF(Q25&lt;0," ",Q25*10)</f>
        <v xml:space="preserve"> </v>
      </c>
      <c r="AB25" s="323"/>
      <c r="AC25" s="449" t="s">
        <v>50</v>
      </c>
      <c r="AD25" s="292"/>
      <c r="AE25" s="453"/>
      <c r="AF25" s="454"/>
      <c r="AG25" s="454"/>
      <c r="AH25" s="454"/>
      <c r="AI25" s="454"/>
      <c r="AJ25" s="454"/>
      <c r="AK25" s="454"/>
      <c r="AL25" s="454"/>
      <c r="AM25" s="455"/>
      <c r="AN25" s="456"/>
      <c r="AO25" s="456"/>
      <c r="AP25" s="300"/>
      <c r="AQ25" s="289"/>
      <c r="AR25" s="289"/>
    </row>
    <row r="26" spans="1:44" x14ac:dyDescent="0.3">
      <c r="A26" s="289"/>
      <c r="B26" s="457" t="s">
        <v>51</v>
      </c>
      <c r="C26" s="458" t="s">
        <v>52</v>
      </c>
      <c r="D26" s="346"/>
      <c r="E26" s="459" t="s">
        <v>32</v>
      </c>
      <c r="F26" s="345" t="str">
        <f>IF(ISNUMBER('Eingabe-Maske'!F26)=TRUE,'Eingabe-Maske'!F26," ")</f>
        <v xml:space="preserve"> </v>
      </c>
      <c r="G26" s="436"/>
      <c r="H26" s="437"/>
      <c r="I26" s="410"/>
      <c r="J26" s="431"/>
      <c r="K26" s="443">
        <f>'Eingabe-Maske'!F26-F$15</f>
        <v>-0.25</v>
      </c>
      <c r="L26" s="444" t="s">
        <v>52</v>
      </c>
      <c r="M26" s="299">
        <v>1</v>
      </c>
      <c r="N26" s="357">
        <v>0.37</v>
      </c>
      <c r="O26" s="358">
        <v>2</v>
      </c>
      <c r="P26" s="445">
        <f>('Eingabe-Maske'!F26-F$15-M26)/N26</f>
        <v>-3.3783783783783785</v>
      </c>
      <c r="Q26" s="398">
        <f>IF(ISBLANK('Eingabe-Maske'!F26)=TRUE,-10,IF(P26&lt;(-3),0,IF(P26&lt;(-2),1,IF(P26&lt;(-1),2,IF(P26&lt;(1),3,IF(P26&lt;(2),2,IF(P26&lt;(3),1,0)))))))</f>
        <v>-10</v>
      </c>
      <c r="R26" s="444" t="s">
        <v>52</v>
      </c>
      <c r="S26" s="1091"/>
      <c r="T26" s="460" t="s">
        <v>191</v>
      </c>
      <c r="U26" s="383"/>
      <c r="V26" s="461" t="str">
        <f>IF(Q26&lt;0," ",IF(P26&lt;=0,Q26*10,""))</f>
        <v xml:space="preserve"> </v>
      </c>
      <c r="W26" s="384"/>
      <c r="X26" s="462" t="str">
        <f>IF(Q26&lt;0," ",IF(P26&gt;=0,Q26*10,""))</f>
        <v xml:space="preserve"> </v>
      </c>
      <c r="Y26" s="447" t="str">
        <f>IF(Q26&lt;0,"",IF(P26&gt;=0,Q26*10,""))</f>
        <v/>
      </c>
      <c r="Z26" s="448" t="str">
        <f>IF(Q26&lt;0,"",IF(P26&lt;=0,Q26*10,""))</f>
        <v/>
      </c>
      <c r="AA26" s="463" t="str">
        <f>IF(Q26&lt;0," ",Q26*10)</f>
        <v xml:space="preserve"> </v>
      </c>
      <c r="AB26" s="464" t="str">
        <f>IF(AND(ISNUMBER(AA24),ISNUMBER(AA26)),IF(AND(AA26&lt;AA24,AA26&lt;30),10,0)," ")</f>
        <v xml:space="preserve"> </v>
      </c>
      <c r="AC26" s="465" t="s">
        <v>52</v>
      </c>
      <c r="AD26" s="292"/>
      <c r="AE26" s="453"/>
      <c r="AF26" s="466"/>
      <c r="AG26" s="467"/>
      <c r="AH26" s="467"/>
      <c r="AI26" s="467"/>
      <c r="AJ26" s="467"/>
      <c r="AK26" s="467"/>
      <c r="AL26" s="467"/>
      <c r="AM26" s="467"/>
      <c r="AN26" s="292"/>
      <c r="AO26" s="292"/>
      <c r="AP26" s="300"/>
      <c r="AQ26" s="289"/>
      <c r="AR26" s="289"/>
    </row>
    <row r="27" spans="1:44" x14ac:dyDescent="0.3">
      <c r="A27" s="289"/>
      <c r="B27" s="468" t="s">
        <v>51</v>
      </c>
      <c r="C27" s="458" t="s">
        <v>52</v>
      </c>
      <c r="D27" s="469"/>
      <c r="E27" s="470" t="s">
        <v>34</v>
      </c>
      <c r="F27" s="345" t="str">
        <f>IF(ISNUMBER('Eingabe-Maske'!F27)=TRUE,'Eingabe-Maske'!F27," ")</f>
        <v xml:space="preserve"> </v>
      </c>
      <c r="G27" s="436"/>
      <c r="H27" s="437"/>
      <c r="I27" s="410"/>
      <c r="J27" s="431"/>
      <c r="K27" s="443">
        <f>'Eingabe-Maske'!F27-F$16</f>
        <v>-0.25</v>
      </c>
      <c r="L27" s="444" t="s">
        <v>52</v>
      </c>
      <c r="M27" s="299">
        <v>1</v>
      </c>
      <c r="N27" s="357">
        <v>0.37</v>
      </c>
      <c r="O27" s="358">
        <v>2</v>
      </c>
      <c r="P27" s="445">
        <f>('Eingabe-Maske'!F27-F$16-M27)/N27</f>
        <v>-3.3783783783783785</v>
      </c>
      <c r="Q27" s="398">
        <f>IF(ISBLANK('Eingabe-Maske'!F27)=TRUE,-10,IF(P27&lt;(-3),0,IF(P27&lt;(-2),1,IF(P27&lt;(-1),2,IF(P27&lt;(1),3,IF(P27&lt;(2),2,IF(P27&lt;(3),1,0)))))))</f>
        <v>-10</v>
      </c>
      <c r="R27" s="444" t="s">
        <v>52</v>
      </c>
      <c r="S27" s="1091"/>
      <c r="T27" s="399" t="s">
        <v>191</v>
      </c>
      <c r="U27" s="383"/>
      <c r="V27" s="461" t="str">
        <f>IF(Q27&lt;0," ",IF(P27&lt;=0,Q27*10,""))</f>
        <v xml:space="preserve"> </v>
      </c>
      <c r="W27" s="384"/>
      <c r="X27" s="462" t="str">
        <f>IF(Q27&lt;0," ",IF(P27&gt;=0,Q27*10,""))</f>
        <v xml:space="preserve"> </v>
      </c>
      <c r="Y27" s="447" t="str">
        <f>IF(Q27&lt;0,"",IF(P27&gt;=0,Q27*10,""))</f>
        <v/>
      </c>
      <c r="Z27" s="448" t="str">
        <f>IF(Q27&lt;0,"",IF(P27&lt;=0,Q27*10,""))</f>
        <v/>
      </c>
      <c r="AA27" s="463" t="str">
        <f>IF(Q27&lt;0," ",Q27*10)</f>
        <v xml:space="preserve"> </v>
      </c>
      <c r="AB27" s="464" t="str">
        <f>IF(AND(ISNUMBER(AA25),ISNUMBER(AA27)),IF(AND(AA27&lt;AA25,AA27&lt;30),10,0)," ")</f>
        <v xml:space="preserve"> </v>
      </c>
      <c r="AC27" s="449" t="s">
        <v>52</v>
      </c>
      <c r="AD27" s="292"/>
      <c r="AE27" s="453"/>
      <c r="AF27" s="466"/>
      <c r="AG27" s="467"/>
      <c r="AH27" s="467"/>
      <c r="AI27" s="467"/>
      <c r="AJ27" s="467"/>
      <c r="AK27" s="467"/>
      <c r="AL27" s="467"/>
      <c r="AM27" s="467"/>
      <c r="AN27" s="292"/>
      <c r="AO27" s="292"/>
      <c r="AP27" s="300"/>
      <c r="AQ27" s="289"/>
      <c r="AR27" s="289"/>
    </row>
    <row r="28" spans="1:44" x14ac:dyDescent="0.3">
      <c r="A28" s="289"/>
      <c r="B28" s="471"/>
      <c r="C28" s="472"/>
      <c r="D28" s="473"/>
      <c r="E28" s="474"/>
      <c r="F28" s="475"/>
      <c r="G28" s="476"/>
      <c r="H28" s="437"/>
      <c r="I28" s="477"/>
      <c r="J28" s="431"/>
      <c r="K28" s="410" t="str">
        <f>F30</f>
        <v xml:space="preserve"> </v>
      </c>
      <c r="L28" s="397" t="s">
        <v>83</v>
      </c>
      <c r="M28" s="299">
        <v>13</v>
      </c>
      <c r="N28" s="357">
        <v>4</v>
      </c>
      <c r="O28" s="358">
        <v>1</v>
      </c>
      <c r="P28" s="380">
        <f>('Eingabe-Maske'!F30-M28)/N28</f>
        <v>-3.25</v>
      </c>
      <c r="Q28" s="398">
        <f>IF(ISBLANK('Eingabe-Maske'!F30)=TRUE,-10,IF(P28&lt;(-3),0,IF(P28&lt;(-2),1,IF(P28&lt;(-1),2,IF(P28&lt;(1),3,IF(P28&lt;(2),4,IF(P28&lt;(3),4,4)))))))</f>
        <v>-10</v>
      </c>
      <c r="R28" s="397" t="s">
        <v>83</v>
      </c>
      <c r="S28" s="1091"/>
      <c r="T28" s="399" t="s">
        <v>88</v>
      </c>
      <c r="U28" s="383"/>
      <c r="V28" s="478" t="str">
        <f>IF(Q28&lt;0," ",Q28*10)</f>
        <v xml:space="preserve"> </v>
      </c>
      <c r="W28" s="384"/>
      <c r="X28" s="425"/>
      <c r="Y28" s="384"/>
      <c r="Z28" s="425"/>
      <c r="AA28" s="426"/>
      <c r="AB28" s="323"/>
      <c r="AC28" s="390"/>
      <c r="AD28" s="292"/>
      <c r="AE28" s="453"/>
      <c r="AF28" s="466"/>
      <c r="AG28" s="467"/>
      <c r="AH28" s="467"/>
      <c r="AI28" s="467"/>
      <c r="AJ28" s="467"/>
      <c r="AK28" s="467"/>
      <c r="AL28" s="467"/>
      <c r="AM28" s="467"/>
      <c r="AN28" s="292"/>
      <c r="AO28" s="292"/>
      <c r="AP28" s="300"/>
      <c r="AQ28" s="289"/>
      <c r="AR28" s="289"/>
    </row>
    <row r="29" spans="1:44" x14ac:dyDescent="0.3">
      <c r="A29" s="289"/>
      <c r="B29" s="428"/>
      <c r="C29" s="429"/>
      <c r="D29" s="479"/>
      <c r="E29" s="480"/>
      <c r="F29" s="481" t="s">
        <v>74</v>
      </c>
      <c r="G29" s="407" t="s">
        <v>75</v>
      </c>
      <c r="H29" s="408" t="s">
        <v>73</v>
      </c>
      <c r="I29" s="409"/>
      <c r="J29" s="410"/>
      <c r="K29" s="482"/>
      <c r="L29" s="397" t="s">
        <v>84</v>
      </c>
      <c r="M29" s="323">
        <v>19</v>
      </c>
      <c r="N29" s="418">
        <v>4.7</v>
      </c>
      <c r="O29" s="419">
        <v>1</v>
      </c>
      <c r="P29" s="380">
        <f>('Eingabe-Maske'!G30-M29)/N29</f>
        <v>-0.85106382978723405</v>
      </c>
      <c r="Q29" s="398">
        <f>IF(ISBLANK('Eingabe-Maske'!G30)=TRUE,-10,IF(P29&lt;(-3),0,IF(P29&lt;(-2),1,IF(P29&lt;(-1),2,IF(P29&lt;(1),3,IF(P29&lt;(2),4,IF(P29&lt;(3),4,4)))))))</f>
        <v>3</v>
      </c>
      <c r="R29" s="397" t="s">
        <v>84</v>
      </c>
      <c r="S29" s="1091"/>
      <c r="T29" s="383" t="s">
        <v>88</v>
      </c>
      <c r="U29" s="483"/>
      <c r="V29" s="478">
        <f>IF(Q29&lt;0," ",Q29*10)</f>
        <v>30</v>
      </c>
      <c r="W29" s="384"/>
      <c r="X29" s="425"/>
      <c r="Y29" s="384"/>
      <c r="Z29" s="388"/>
      <c r="AA29" s="426"/>
      <c r="AB29" s="323"/>
      <c r="AC29" s="390"/>
      <c r="AD29" s="292"/>
      <c r="AE29" s="453"/>
      <c r="AF29" s="466"/>
      <c r="AG29" s="484"/>
      <c r="AH29" s="484"/>
      <c r="AI29" s="484"/>
      <c r="AJ29" s="484"/>
      <c r="AK29" s="484"/>
      <c r="AL29" s="484"/>
      <c r="AM29" s="484"/>
      <c r="AN29" s="467"/>
      <c r="AO29" s="299"/>
      <c r="AP29" s="300"/>
      <c r="AQ29" s="289"/>
      <c r="AR29" s="289"/>
    </row>
    <row r="30" spans="1:44" x14ac:dyDescent="0.3">
      <c r="A30" s="289"/>
      <c r="B30" s="373" t="s">
        <v>76</v>
      </c>
      <c r="C30" s="374" t="s">
        <v>77</v>
      </c>
      <c r="D30" s="344" t="s">
        <v>45</v>
      </c>
      <c r="E30" s="414"/>
      <c r="F30" s="415" t="str">
        <f>IF(ISNUMBER('Eingabe-Maske'!F30)=TRUE,'Eingabe-Maske'!F30," ")</f>
        <v xml:space="preserve"> </v>
      </c>
      <c r="G30" s="415">
        <f>IF(ISNUMBER('Eingabe-Maske'!G30)=TRUE,'Eingabe-Maske'!G30," ")</f>
        <v>15</v>
      </c>
      <c r="H30" s="415">
        <f>IF(ISNUMBER('Eingabe-Maske'!H30)=TRUE,'Eingabe-Maske'!H30," ")</f>
        <v>10</v>
      </c>
      <c r="I30" s="485"/>
      <c r="J30" s="379"/>
      <c r="K30" s="379"/>
      <c r="L30" s="397" t="s">
        <v>89</v>
      </c>
      <c r="M30" s="299">
        <v>9</v>
      </c>
      <c r="N30" s="357">
        <v>4</v>
      </c>
      <c r="O30" s="358">
        <v>1</v>
      </c>
      <c r="P30" s="380">
        <f>('Eingabe-Maske'!H30-M30)/N30</f>
        <v>0.25</v>
      </c>
      <c r="Q30" s="398">
        <f>IF(ISBLANK('Eingabe-Maske'!H30)=TRUE,-10,IF(P30&lt;(-3),0,IF(P30&lt;(-2),1,IF(P30&lt;(-1),2,IF(P30&lt;(1),3,IF(P30&lt;(2),4,IF(P30&lt;(3),4,4)))))))</f>
        <v>3</v>
      </c>
      <c r="R30" s="397" t="s">
        <v>89</v>
      </c>
      <c r="S30" s="1091"/>
      <c r="T30" s="399" t="s">
        <v>88</v>
      </c>
      <c r="U30" s="383"/>
      <c r="V30" s="478">
        <f>IF(Q30&lt;0," ",Q30*10)</f>
        <v>30</v>
      </c>
      <c r="W30" s="384"/>
      <c r="X30" s="425"/>
      <c r="Y30" s="384"/>
      <c r="Z30" s="388"/>
      <c r="AA30" s="426"/>
      <c r="AB30" s="323"/>
      <c r="AC30" s="390"/>
      <c r="AD30" s="292"/>
      <c r="AE30" s="453"/>
      <c r="AF30" s="454"/>
      <c r="AG30" s="467" t="s">
        <v>110</v>
      </c>
      <c r="AH30" s="467" t="s">
        <v>60</v>
      </c>
      <c r="AI30" s="467" t="s">
        <v>60</v>
      </c>
      <c r="AJ30" s="467" t="s">
        <v>52</v>
      </c>
      <c r="AK30" s="467" t="s">
        <v>52</v>
      </c>
      <c r="AL30" s="467" t="s">
        <v>101</v>
      </c>
      <c r="AM30" s="467" t="s">
        <v>102</v>
      </c>
      <c r="AN30" s="467" t="s">
        <v>111</v>
      </c>
      <c r="AO30" s="292"/>
      <c r="AP30" s="357"/>
      <c r="AQ30" s="289"/>
      <c r="AR30" s="289"/>
    </row>
    <row r="31" spans="1:44" x14ac:dyDescent="0.3">
      <c r="A31" s="289"/>
      <c r="B31" s="373" t="s">
        <v>78</v>
      </c>
      <c r="C31" s="374" t="s">
        <v>79</v>
      </c>
      <c r="D31" s="344" t="s">
        <v>46</v>
      </c>
      <c r="E31" s="414"/>
      <c r="F31" s="415">
        <f>IF(ISNUMBER('Eingabe-Maske'!F31)=TRUE,'Eingabe-Maske'!F31," ")</f>
        <v>10</v>
      </c>
      <c r="G31" s="415">
        <f>IF(ISNUMBER('Eingabe-Maske'!G31)=TRUE,'Eingabe-Maske'!G31," ")</f>
        <v>16</v>
      </c>
      <c r="H31" s="415">
        <f>IF(ISNUMBER('Eingabe-Maske'!H31)=TRUE,'Eingabe-Maske'!H31," ")</f>
        <v>12</v>
      </c>
      <c r="I31" s="485"/>
      <c r="J31" s="379"/>
      <c r="K31" s="379">
        <f>F31</f>
        <v>10</v>
      </c>
      <c r="L31" s="397" t="s">
        <v>87</v>
      </c>
      <c r="M31" s="299">
        <v>11</v>
      </c>
      <c r="N31" s="357">
        <v>3</v>
      </c>
      <c r="O31" s="358">
        <v>1</v>
      </c>
      <c r="P31" s="380">
        <f>('Eingabe-Maske'!F31-M31)/N31</f>
        <v>-0.33333333333333331</v>
      </c>
      <c r="Q31" s="398">
        <f>IF(ISBLANK('Eingabe-Maske'!F31)=TRUE,-10,IF(P31&lt;(-3),0,IF(P31&lt;(-2),1,IF(P31&lt;(-1),2,IF(P31&lt;(1),3,IF(P31&lt;(2),4,IF(P31&lt;(3),4,4)))))))</f>
        <v>3</v>
      </c>
      <c r="R31" s="397" t="s">
        <v>87</v>
      </c>
      <c r="S31" s="1091"/>
      <c r="T31" s="399" t="s">
        <v>100</v>
      </c>
      <c r="U31" s="383"/>
      <c r="V31" s="446"/>
      <c r="W31" s="384"/>
      <c r="X31" s="486">
        <f>IF(Q31&lt;0," ",Q31*10)</f>
        <v>30</v>
      </c>
      <c r="Y31" s="384"/>
      <c r="Z31" s="388"/>
      <c r="AA31" s="426"/>
      <c r="AB31" s="323"/>
      <c r="AC31" s="390"/>
      <c r="AD31" s="292"/>
      <c r="AE31" s="487"/>
      <c r="AF31" s="488" t="s">
        <v>198</v>
      </c>
      <c r="AG31" s="489" t="s">
        <v>141</v>
      </c>
      <c r="AH31" s="490" t="s">
        <v>145</v>
      </c>
      <c r="AI31" s="490" t="s">
        <v>145</v>
      </c>
      <c r="AJ31" s="490" t="s">
        <v>145</v>
      </c>
      <c r="AK31" s="490" t="s">
        <v>145</v>
      </c>
      <c r="AL31" s="490" t="s">
        <v>141</v>
      </c>
      <c r="AM31" s="490" t="s">
        <v>141</v>
      </c>
      <c r="AN31" s="490" t="s">
        <v>141</v>
      </c>
      <c r="AO31" s="292"/>
      <c r="AP31" s="357"/>
      <c r="AQ31" s="289"/>
      <c r="AR31" s="289"/>
    </row>
    <row r="32" spans="1:44" x14ac:dyDescent="0.3">
      <c r="A32" s="289"/>
      <c r="B32" s="391"/>
      <c r="C32" s="491"/>
      <c r="D32" s="492"/>
      <c r="E32" s="410"/>
      <c r="F32" s="395"/>
      <c r="G32" s="493"/>
      <c r="H32" s="410"/>
      <c r="I32" s="379"/>
      <c r="J32" s="379"/>
      <c r="K32" s="379"/>
      <c r="L32" s="397" t="s">
        <v>85</v>
      </c>
      <c r="M32" s="299">
        <v>20</v>
      </c>
      <c r="N32" s="357">
        <v>2.9</v>
      </c>
      <c r="O32" s="358">
        <v>1</v>
      </c>
      <c r="P32" s="380">
        <f>('Eingabe-Maske'!G31-M32)/N32</f>
        <v>-1.3793103448275863</v>
      </c>
      <c r="Q32" s="398">
        <f>IF(ISBLANK('Eingabe-Maske'!G31)=TRUE,-10,IF(P32&lt;(-3),0,IF(P32&lt;(-2),1,IF(P32&lt;(-1),2,IF(P32&lt;(1),3,IF(P32&lt;(2),4,IF(P32&lt;(3),4,4)))))))</f>
        <v>2</v>
      </c>
      <c r="R32" s="397" t="s">
        <v>85</v>
      </c>
      <c r="S32" s="1091"/>
      <c r="T32" s="460" t="s">
        <v>100</v>
      </c>
      <c r="U32" s="383"/>
      <c r="V32" s="446"/>
      <c r="W32" s="384"/>
      <c r="X32" s="486">
        <f>IF(Q32&lt;0," ",Q32*10)</f>
        <v>20</v>
      </c>
      <c r="Y32" s="384"/>
      <c r="Z32" s="388"/>
      <c r="AA32" s="426"/>
      <c r="AB32" s="323"/>
      <c r="AC32" s="390"/>
      <c r="AD32" s="292"/>
      <c r="AE32" s="487"/>
      <c r="AF32" s="494"/>
      <c r="AG32" s="495"/>
      <c r="AH32" s="495"/>
      <c r="AI32" s="495"/>
      <c r="AJ32" s="495"/>
      <c r="AK32" s="495"/>
      <c r="AL32" s="495"/>
      <c r="AM32" s="495"/>
      <c r="AN32" s="495"/>
      <c r="AO32" s="292"/>
      <c r="AP32" s="357"/>
      <c r="AQ32" s="289"/>
      <c r="AR32" s="289"/>
    </row>
    <row r="33" spans="1:44" x14ac:dyDescent="0.3">
      <c r="A33" s="289"/>
      <c r="B33" s="428"/>
      <c r="C33" s="496"/>
      <c r="D33" s="497"/>
      <c r="E33" s="410"/>
      <c r="F33" s="432"/>
      <c r="G33" s="410"/>
      <c r="H33" s="410"/>
      <c r="I33" s="379"/>
      <c r="J33" s="379"/>
      <c r="K33" s="379"/>
      <c r="L33" s="397" t="s">
        <v>86</v>
      </c>
      <c r="M33" s="299">
        <v>12</v>
      </c>
      <c r="N33" s="357">
        <v>2.9</v>
      </c>
      <c r="O33" s="358">
        <v>1</v>
      </c>
      <c r="P33" s="380">
        <f>('Eingabe-Maske'!H31-M33)/N33</f>
        <v>0</v>
      </c>
      <c r="Q33" s="398">
        <f>IF(ISBLANK('Eingabe-Maske'!H31)=TRUE,-10,IF(P33&lt;(-3),0,IF(P33&lt;(-2),1,IF(P33&lt;(-1),2,IF(P33&lt;(1),3,IF(P33&lt;(2),4,IF(P33&lt;(3),4,4)))))))</f>
        <v>3</v>
      </c>
      <c r="R33" s="397" t="s">
        <v>86</v>
      </c>
      <c r="S33" s="1091"/>
      <c r="T33" s="399" t="s">
        <v>100</v>
      </c>
      <c r="U33" s="383"/>
      <c r="V33" s="446"/>
      <c r="W33" s="384"/>
      <c r="X33" s="486">
        <f>IF(Q33&lt;0," ",Q33*10)</f>
        <v>30</v>
      </c>
      <c r="Y33" s="384"/>
      <c r="Z33" s="388"/>
      <c r="AA33" s="426"/>
      <c r="AB33" s="323"/>
      <c r="AC33" s="390"/>
      <c r="AD33" s="292"/>
      <c r="AE33" s="498" t="s">
        <v>13</v>
      </c>
      <c r="AF33" s="499" t="s">
        <v>112</v>
      </c>
      <c r="AG33" s="500" t="s">
        <v>142</v>
      </c>
      <c r="AH33" s="501" t="s">
        <v>145</v>
      </c>
      <c r="AI33" s="501" t="s">
        <v>145</v>
      </c>
      <c r="AJ33" s="501" t="s">
        <v>145</v>
      </c>
      <c r="AK33" s="501" t="s">
        <v>145</v>
      </c>
      <c r="AL33" s="501" t="s">
        <v>142</v>
      </c>
      <c r="AM33" s="501" t="s">
        <v>142</v>
      </c>
      <c r="AN33" s="501" t="s">
        <v>147</v>
      </c>
      <c r="AO33" s="292"/>
      <c r="AP33" s="357"/>
      <c r="AQ33" s="289"/>
      <c r="AR33" s="289"/>
    </row>
    <row r="34" spans="1:44" x14ac:dyDescent="0.3">
      <c r="A34" s="289"/>
      <c r="B34" s="502">
        <v>20</v>
      </c>
      <c r="C34" s="374" t="s">
        <v>129</v>
      </c>
      <c r="D34" s="344" t="s">
        <v>54</v>
      </c>
      <c r="E34" s="414"/>
      <c r="F34" s="345">
        <f>IF(ISNUMBER('Eingabe-Maske'!F34)=TRUE,'Eingabe-Maske'!F34," ")</f>
        <v>-1.5</v>
      </c>
      <c r="G34" s="503"/>
      <c r="H34" s="504"/>
      <c r="I34" s="379"/>
      <c r="J34" s="379"/>
      <c r="K34" s="505">
        <f>'Eingabe-Maske'!F34-F$15</f>
        <v>-1.75</v>
      </c>
      <c r="L34" s="444" t="s">
        <v>90</v>
      </c>
      <c r="M34" s="299">
        <v>-3.5</v>
      </c>
      <c r="N34" s="357">
        <v>1</v>
      </c>
      <c r="O34" s="358">
        <v>1</v>
      </c>
      <c r="P34" s="380">
        <f>('Eingabe-Maske'!F34-F$15-M34)/N34</f>
        <v>1.75</v>
      </c>
      <c r="Q34" s="398">
        <f>IF(ISBLANK('Eingabe-Maske'!F34)=TRUE,-10,IF(P34&gt;(3),0,IF(P34&gt;(2),1,IF(P34&gt;(1),2,IF(P34&gt;(-1),3,IF(P34&gt;(-2),4,IF(P34&gt;(-3),4,4)))))))</f>
        <v>2</v>
      </c>
      <c r="R34" s="444" t="s">
        <v>90</v>
      </c>
      <c r="S34" s="1091"/>
      <c r="T34" s="399" t="s">
        <v>101</v>
      </c>
      <c r="U34" s="383"/>
      <c r="V34" s="446"/>
      <c r="W34" s="384"/>
      <c r="X34" s="462">
        <f>IF(Q34&lt;0," ",Q34*10)</f>
        <v>20</v>
      </c>
      <c r="Y34" s="506">
        <f>IF(Q34&lt;0,"",Q34*10)</f>
        <v>20</v>
      </c>
      <c r="Z34" s="388"/>
      <c r="AA34" s="463">
        <f t="shared" ref="AA34:AA39" si="0">IF(Q34&lt;0," ",Q34*10)</f>
        <v>20</v>
      </c>
      <c r="AB34" s="464" t="str">
        <f>IF(AND(ISNUMBER(AA34),ISNUMBER(AA35),ISNUMBER(AA35)),IF(AND(OR(AA34&lt;AA35,AA34&lt;AA36),AA34&lt;30),10,0)," ")</f>
        <v xml:space="preserve"> </v>
      </c>
      <c r="AC34" s="449" t="s">
        <v>101</v>
      </c>
      <c r="AD34" s="292"/>
      <c r="AE34" s="507"/>
      <c r="AF34" s="508" t="s">
        <v>219</v>
      </c>
      <c r="AG34" s="509" t="s">
        <v>142</v>
      </c>
      <c r="AH34" s="495" t="s">
        <v>144</v>
      </c>
      <c r="AI34" s="495" t="s">
        <v>144</v>
      </c>
      <c r="AJ34" s="495" t="s">
        <v>143</v>
      </c>
      <c r="AK34" s="495" t="s">
        <v>143</v>
      </c>
      <c r="AL34" s="495" t="s">
        <v>142</v>
      </c>
      <c r="AM34" s="495" t="s">
        <v>142</v>
      </c>
      <c r="AN34" s="509" t="s">
        <v>145</v>
      </c>
      <c r="AO34" s="292"/>
      <c r="AP34" s="357"/>
      <c r="AQ34" s="289"/>
      <c r="AR34" s="289"/>
    </row>
    <row r="35" spans="1:44" x14ac:dyDescent="0.3">
      <c r="A35" s="289"/>
      <c r="B35" s="510"/>
      <c r="C35" s="374" t="s">
        <v>130</v>
      </c>
      <c r="D35" s="344" t="s">
        <v>54</v>
      </c>
      <c r="E35" s="511" t="s">
        <v>32</v>
      </c>
      <c r="F35" s="345" t="str">
        <f>IF(ISNUMBER('Eingabe-Maske'!F35)=TRUE,'Eingabe-Maske'!F35," ")</f>
        <v xml:space="preserve"> </v>
      </c>
      <c r="G35" s="503"/>
      <c r="H35" s="504"/>
      <c r="I35" s="379"/>
      <c r="J35" s="379"/>
      <c r="K35" s="505">
        <f>'Eingabe-Maske'!F35-F$15</f>
        <v>-0.25</v>
      </c>
      <c r="L35" s="444" t="s">
        <v>132</v>
      </c>
      <c r="M35" s="299">
        <v>-3.5</v>
      </c>
      <c r="N35" s="357">
        <v>1</v>
      </c>
      <c r="O35" s="358">
        <v>1</v>
      </c>
      <c r="P35" s="380">
        <f>('Eingabe-Maske'!F35-F$15-M35)/N35</f>
        <v>3.25</v>
      </c>
      <c r="Q35" s="398">
        <f>IF(ISBLANK('Eingabe-Maske'!F35)=TRUE,-10,IF(P35&gt;(3),0,IF(P35&gt;(2),1,IF(P35&gt;(1),2,IF(P35&gt;(-1),3,IF(P35&gt;(-2),4,IF(P35&gt;(-3),4,4)))))))</f>
        <v>-10</v>
      </c>
      <c r="R35" s="444" t="s">
        <v>132</v>
      </c>
      <c r="S35" s="1091"/>
      <c r="T35" s="483"/>
      <c r="U35" s="383"/>
      <c r="V35" s="483"/>
      <c r="W35" s="383"/>
      <c r="X35" s="332"/>
      <c r="Y35" s="506" t="str">
        <f>IF(Q35&lt;0,"",Q35*10)</f>
        <v/>
      </c>
      <c r="Z35" s="332"/>
      <c r="AA35" s="426" t="str">
        <f t="shared" si="0"/>
        <v xml:space="preserve"> </v>
      </c>
      <c r="AB35" s="512"/>
      <c r="AC35" s="449" t="s">
        <v>234</v>
      </c>
      <c r="AD35" s="292"/>
      <c r="AE35" s="507"/>
      <c r="AF35" s="499" t="s">
        <v>113</v>
      </c>
      <c r="AG35" s="501" t="s">
        <v>142</v>
      </c>
      <c r="AH35" s="501" t="s">
        <v>147</v>
      </c>
      <c r="AI35" s="501" t="s">
        <v>147</v>
      </c>
      <c r="AJ35" s="501" t="s">
        <v>147</v>
      </c>
      <c r="AK35" s="501" t="s">
        <v>147</v>
      </c>
      <c r="AL35" s="501" t="s">
        <v>147</v>
      </c>
      <c r="AM35" s="501" t="s">
        <v>209</v>
      </c>
      <c r="AN35" s="501" t="s">
        <v>147</v>
      </c>
      <c r="AO35" s="292"/>
      <c r="AP35" s="418"/>
      <c r="AQ35" s="289"/>
      <c r="AR35" s="289"/>
    </row>
    <row r="36" spans="1:44" x14ac:dyDescent="0.3">
      <c r="A36" s="289"/>
      <c r="B36" s="513"/>
      <c r="C36" s="374" t="s">
        <v>130</v>
      </c>
      <c r="D36" s="344" t="s">
        <v>54</v>
      </c>
      <c r="E36" s="511" t="s">
        <v>34</v>
      </c>
      <c r="F36" s="345" t="str">
        <f>IF(ISNUMBER('Eingabe-Maske'!F36)=TRUE,'Eingabe-Maske'!F36," ")</f>
        <v xml:space="preserve"> </v>
      </c>
      <c r="G36" s="503"/>
      <c r="H36" s="504"/>
      <c r="I36" s="379"/>
      <c r="J36" s="379"/>
      <c r="K36" s="505">
        <f>'Eingabe-Maske'!F36-F$15</f>
        <v>-0.25</v>
      </c>
      <c r="L36" s="444" t="s">
        <v>132</v>
      </c>
      <c r="M36" s="299">
        <v>-3.5</v>
      </c>
      <c r="N36" s="357">
        <v>1</v>
      </c>
      <c r="O36" s="358">
        <v>1</v>
      </c>
      <c r="P36" s="380">
        <f>('Eingabe-Maske'!F36-F$16-M36)/N36</f>
        <v>3.25</v>
      </c>
      <c r="Q36" s="398">
        <f>IF(ISBLANK('Eingabe-Maske'!F36)=TRUE,-10,IF(P36&gt;(3),0,IF(P36&gt;(2),1,IF(P36&gt;(1),2,IF(P36&gt;(-1),3,IF(P36&gt;(-2),4,IF(P36&gt;(-3),4,4)))))))</f>
        <v>-10</v>
      </c>
      <c r="R36" s="444" t="s">
        <v>132</v>
      </c>
      <c r="S36" s="1091"/>
      <c r="T36" s="483"/>
      <c r="U36" s="383"/>
      <c r="V36" s="385"/>
      <c r="W36" s="384"/>
      <c r="X36" s="425"/>
      <c r="Y36" s="506" t="str">
        <f>IF(Q36&lt;0,"",Q36*10)</f>
        <v/>
      </c>
      <c r="Z36" s="388"/>
      <c r="AA36" s="426" t="str">
        <f t="shared" si="0"/>
        <v xml:space="preserve"> </v>
      </c>
      <c r="AB36" s="512"/>
      <c r="AC36" s="449" t="s">
        <v>234</v>
      </c>
      <c r="AD36" s="289"/>
      <c r="AE36" s="507"/>
      <c r="AF36" s="494" t="s">
        <v>114</v>
      </c>
      <c r="AG36" s="495" t="s">
        <v>148</v>
      </c>
      <c r="AH36" s="495" t="s">
        <v>147</v>
      </c>
      <c r="AI36" s="495" t="s">
        <v>147</v>
      </c>
      <c r="AJ36" s="495" t="s">
        <v>147</v>
      </c>
      <c r="AK36" s="495" t="s">
        <v>147</v>
      </c>
      <c r="AL36" s="495" t="s">
        <v>147</v>
      </c>
      <c r="AM36" s="495" t="s">
        <v>209</v>
      </c>
      <c r="AN36" s="495" t="s">
        <v>147</v>
      </c>
      <c r="AO36" s="292"/>
      <c r="AP36" s="357"/>
      <c r="AQ36" s="289"/>
      <c r="AR36" s="289"/>
    </row>
    <row r="37" spans="1:44" x14ac:dyDescent="0.3">
      <c r="A37" s="289"/>
      <c r="B37" s="373">
        <v>21</v>
      </c>
      <c r="C37" s="374" t="s">
        <v>137</v>
      </c>
      <c r="D37" s="344" t="s">
        <v>55</v>
      </c>
      <c r="E37" s="421"/>
      <c r="F37" s="345">
        <f>IF(ISNUMBER('Eingabe-Maske'!F37)=TRUE,'Eingabe-Maske'!F37," ")</f>
        <v>1.75</v>
      </c>
      <c r="G37" s="503"/>
      <c r="H37" s="476"/>
      <c r="I37" s="379"/>
      <c r="J37" s="379"/>
      <c r="K37" s="505">
        <f>'Eingabe-Maske'!F37-F$15</f>
        <v>1.5</v>
      </c>
      <c r="L37" s="444" t="s">
        <v>91</v>
      </c>
      <c r="M37" s="299">
        <v>2.37</v>
      </c>
      <c r="N37" s="357">
        <v>0.5</v>
      </c>
      <c r="O37" s="358">
        <v>1</v>
      </c>
      <c r="P37" s="380">
        <f>('Eingabe-Maske'!F37-F$15-M37)/N37</f>
        <v>-1.7400000000000002</v>
      </c>
      <c r="Q37" s="398">
        <f>IF(ISBLANK('Eingabe-Maske'!F37)=TRUE,-10,IF(P37&lt;(-3),0,IF(P37&lt;(-2),1,IF(P37&lt;(-1),2,IF(P37&lt;(1),3,IF(P37&lt;(2),4,IF(P37&lt;(3),4,4)))))))</f>
        <v>2</v>
      </c>
      <c r="R37" s="444" t="s">
        <v>91</v>
      </c>
      <c r="S37" s="1091"/>
      <c r="T37" s="399" t="s">
        <v>102</v>
      </c>
      <c r="U37" s="383"/>
      <c r="V37" s="514">
        <f>IF(Q37&lt;0," ",Q37*10)</f>
        <v>20</v>
      </c>
      <c r="W37" s="384"/>
      <c r="X37" s="425"/>
      <c r="Y37" s="384"/>
      <c r="Z37" s="448">
        <f>IF(Q37&lt;0,"",Q37*10)</f>
        <v>20</v>
      </c>
      <c r="AA37" s="463">
        <f t="shared" si="0"/>
        <v>20</v>
      </c>
      <c r="AB37" s="464" t="str">
        <f>IF(AND(ISNUMBER(AA37),ISNUMBER(AA38),ISNUMBER(AA38)),IF(AND(OR(AA37&lt;AA38,AA37&lt;AA39),AA37&lt;30),10,0)," ")</f>
        <v xml:space="preserve"> </v>
      </c>
      <c r="AC37" s="449" t="s">
        <v>102</v>
      </c>
      <c r="AD37" s="289"/>
      <c r="AE37" s="507"/>
      <c r="AF37" s="499" t="s">
        <v>115</v>
      </c>
      <c r="AG37" s="501" t="s">
        <v>148</v>
      </c>
      <c r="AH37" s="501" t="s">
        <v>148</v>
      </c>
      <c r="AI37" s="501" t="s">
        <v>148</v>
      </c>
      <c r="AJ37" s="501" t="s">
        <v>148</v>
      </c>
      <c r="AK37" s="501" t="s">
        <v>148</v>
      </c>
      <c r="AL37" s="501" t="s">
        <v>148</v>
      </c>
      <c r="AM37" s="501" t="s">
        <v>147</v>
      </c>
      <c r="AN37" s="515" t="s">
        <v>147</v>
      </c>
      <c r="AO37" s="292"/>
      <c r="AP37" s="300"/>
      <c r="AQ37" s="289"/>
      <c r="AR37" s="289"/>
    </row>
    <row r="38" spans="1:44" x14ac:dyDescent="0.3">
      <c r="A38" s="289"/>
      <c r="B38" s="516"/>
      <c r="C38" s="374" t="s">
        <v>138</v>
      </c>
      <c r="D38" s="344" t="s">
        <v>55</v>
      </c>
      <c r="E38" s="517" t="s">
        <v>32</v>
      </c>
      <c r="F38" s="345" t="str">
        <f>IF(ISNUMBER('Eingabe-Maske'!F38)=TRUE,'Eingabe-Maske'!F38," ")</f>
        <v xml:space="preserve"> </v>
      </c>
      <c r="G38" s="503"/>
      <c r="H38" s="518" t="s">
        <v>208</v>
      </c>
      <c r="I38" s="519"/>
      <c r="J38" s="520"/>
      <c r="K38" s="505">
        <f>'Eingabe-Maske'!F38-F$15</f>
        <v>-0.25</v>
      </c>
      <c r="L38" s="444" t="s">
        <v>131</v>
      </c>
      <c r="M38" s="299">
        <v>2.37</v>
      </c>
      <c r="N38" s="357">
        <v>0.5</v>
      </c>
      <c r="O38" s="358">
        <v>1</v>
      </c>
      <c r="P38" s="380">
        <f>('Eingabe-Maske'!F38-F$15-M38)/N38</f>
        <v>-5.24</v>
      </c>
      <c r="Q38" s="398">
        <f>IF(ISBLANK('Eingabe-Maske'!F38)=TRUE,-10,IF(P38&lt;(-3),0,IF(P38&lt;(-2),1,IF(P38&lt;(-1),2,IF(P38&lt;(1),3,IF(P38&lt;(2),4,IF(P38&lt;(3),4,4)))))))</f>
        <v>-10</v>
      </c>
      <c r="R38" s="444" t="s">
        <v>131</v>
      </c>
      <c r="S38" s="1091"/>
      <c r="T38" s="483"/>
      <c r="U38" s="383"/>
      <c r="V38" s="385"/>
      <c r="W38" s="384"/>
      <c r="X38" s="425"/>
      <c r="Y38" s="384"/>
      <c r="Z38" s="448" t="str">
        <f>IF(Q38&lt;0,"",Q38*10)</f>
        <v/>
      </c>
      <c r="AA38" s="426" t="str">
        <f t="shared" si="0"/>
        <v xml:space="preserve"> </v>
      </c>
      <c r="AB38" s="512"/>
      <c r="AC38" s="449" t="s">
        <v>235</v>
      </c>
      <c r="AD38" s="289"/>
      <c r="AE38" s="453"/>
      <c r="AF38" s="466"/>
      <c r="AG38" s="467"/>
      <c r="AH38" s="467"/>
      <c r="AI38" s="467"/>
      <c r="AJ38" s="467"/>
      <c r="AK38" s="467"/>
      <c r="AL38" s="467"/>
      <c r="AM38" s="467"/>
      <c r="AN38" s="467"/>
      <c r="AO38" s="292"/>
      <c r="AP38" s="300"/>
      <c r="AQ38" s="289"/>
      <c r="AR38" s="289"/>
    </row>
    <row r="39" spans="1:44" x14ac:dyDescent="0.3">
      <c r="A39" s="289"/>
      <c r="B39" s="516"/>
      <c r="C39" s="374" t="s">
        <v>139</v>
      </c>
      <c r="D39" s="344" t="s">
        <v>55</v>
      </c>
      <c r="E39" s="517" t="s">
        <v>34</v>
      </c>
      <c r="F39" s="345" t="str">
        <f>IF(ISNUMBER('Eingabe-Maske'!F39)=TRUE,'Eingabe-Maske'!F39," ")</f>
        <v xml:space="preserve"> </v>
      </c>
      <c r="G39" s="503"/>
      <c r="H39" s="521"/>
      <c r="I39" s="522" t="s">
        <v>206</v>
      </c>
      <c r="J39" s="522" t="s">
        <v>207</v>
      </c>
      <c r="K39" s="505">
        <f>'Eingabe-Maske'!F39-F$15</f>
        <v>-0.25</v>
      </c>
      <c r="L39" s="444" t="s">
        <v>131</v>
      </c>
      <c r="M39" s="299">
        <v>2.37</v>
      </c>
      <c r="N39" s="357">
        <v>0.5</v>
      </c>
      <c r="O39" s="358">
        <v>1</v>
      </c>
      <c r="P39" s="380">
        <f>('Eingabe-Maske'!F39-F$16-M39)/N39</f>
        <v>-5.24</v>
      </c>
      <c r="Q39" s="398">
        <f>IF(ISBLANK('Eingabe-Maske'!F39)=TRUE,-10,IF(P39&lt;(-3),0,IF(P39&lt;(-2),1,IF(P39&lt;(-1),2,IF(P39&lt;(1),3,IF(P39&lt;(2),4,IF(P39&lt;(3),4,4)))))))</f>
        <v>-10</v>
      </c>
      <c r="R39" s="444" t="s">
        <v>131</v>
      </c>
      <c r="S39" s="1091"/>
      <c r="T39" s="483"/>
      <c r="U39" s="383"/>
      <c r="V39" s="385"/>
      <c r="W39" s="384"/>
      <c r="X39" s="425"/>
      <c r="Y39" s="384"/>
      <c r="Z39" s="448" t="str">
        <f>IF(Q39&lt;0,"",Q39*10)</f>
        <v/>
      </c>
      <c r="AA39" s="426" t="str">
        <f t="shared" si="0"/>
        <v xml:space="preserve"> </v>
      </c>
      <c r="AB39" s="512"/>
      <c r="AC39" s="449" t="s">
        <v>235</v>
      </c>
      <c r="AD39" s="289"/>
      <c r="AE39" s="453"/>
      <c r="AF39" s="466"/>
      <c r="AG39" s="467"/>
      <c r="AH39" s="467"/>
      <c r="AI39" s="467"/>
      <c r="AJ39" s="467"/>
      <c r="AK39" s="467"/>
      <c r="AL39" s="467"/>
      <c r="AM39" s="467"/>
      <c r="AN39" s="467"/>
      <c r="AO39" s="292"/>
      <c r="AP39" s="300"/>
      <c r="AQ39" s="289"/>
      <c r="AR39" s="289"/>
    </row>
    <row r="40" spans="1:44" x14ac:dyDescent="0.3">
      <c r="A40" s="289"/>
      <c r="B40" s="523" t="s">
        <v>56</v>
      </c>
      <c r="C40" s="292"/>
      <c r="D40" s="299"/>
      <c r="E40" s="323"/>
      <c r="F40" s="299"/>
      <c r="G40" s="503"/>
      <c r="H40" s="524" t="s">
        <v>171</v>
      </c>
      <c r="I40" s="522">
        <f ca="1">AH15</f>
        <v>2</v>
      </c>
      <c r="J40" s="522">
        <f ca="1">AI15</f>
        <v>40</v>
      </c>
      <c r="K40" s="379"/>
      <c r="L40" s="444"/>
      <c r="M40" s="299"/>
      <c r="N40" s="357"/>
      <c r="O40" s="358"/>
      <c r="P40" s="380"/>
      <c r="Q40" s="398"/>
      <c r="R40" s="444"/>
      <c r="S40" s="1091"/>
      <c r="T40" s="483"/>
      <c r="U40" s="383"/>
      <c r="V40" s="446"/>
      <c r="W40" s="384"/>
      <c r="X40" s="425"/>
      <c r="Y40" s="384"/>
      <c r="Z40" s="388"/>
      <c r="AA40" s="426"/>
      <c r="AB40" s="512"/>
      <c r="AC40" s="390"/>
      <c r="AD40" s="289"/>
      <c r="AE40" s="525" t="s">
        <v>15</v>
      </c>
      <c r="AF40" s="526" t="s">
        <v>116</v>
      </c>
      <c r="AG40" s="527" t="s">
        <v>141</v>
      </c>
      <c r="AH40" s="528" t="s">
        <v>147</v>
      </c>
      <c r="AI40" s="528" t="s">
        <v>147</v>
      </c>
      <c r="AJ40" s="528" t="s">
        <v>147</v>
      </c>
      <c r="AK40" s="528" t="s">
        <v>147</v>
      </c>
      <c r="AL40" s="527"/>
      <c r="AM40" s="528" t="s">
        <v>146</v>
      </c>
      <c r="AN40" s="527" t="s">
        <v>146</v>
      </c>
      <c r="AO40" s="292"/>
      <c r="AP40" s="300"/>
      <c r="AQ40" s="289"/>
      <c r="AR40" s="289"/>
    </row>
    <row r="41" spans="1:44" x14ac:dyDescent="0.3">
      <c r="A41" s="289"/>
      <c r="B41" s="529"/>
      <c r="C41" s="1092" t="s">
        <v>60</v>
      </c>
      <c r="D41" s="530"/>
      <c r="E41" s="531" t="s">
        <v>32</v>
      </c>
      <c r="F41" s="345">
        <f>IF(ISNUMBER('Eingabe-Maske'!F41)=TRUE,'Eingabe-Maske'!F41," ")</f>
        <v>1.75</v>
      </c>
      <c r="G41" s="503"/>
      <c r="H41" s="524" t="s">
        <v>172</v>
      </c>
      <c r="I41" s="522">
        <f ca="1">IF(E9&gt;40,"",AH16)</f>
        <v>2</v>
      </c>
      <c r="J41" s="522">
        <f ca="1">IF(E9&gt;40,"",AI16)</f>
        <v>40</v>
      </c>
      <c r="K41" s="379"/>
      <c r="L41" s="444" t="s">
        <v>98</v>
      </c>
      <c r="M41" s="299">
        <v>0.62</v>
      </c>
      <c r="N41" s="357">
        <v>0.18</v>
      </c>
      <c r="O41" s="358">
        <v>2</v>
      </c>
      <c r="P41" s="380">
        <f>('Eingabe-Maske'!F41-M41)/N41</f>
        <v>6.2777777777777777</v>
      </c>
      <c r="Q41" s="398">
        <f>IF(ISBLANK('Eingabe-Maske'!F41)=TRUE,-10,IF(P41&lt;(-3),0,IF(P41&lt;(-2),1,IF(P41&lt;(-1),2,IF(P41&lt;(1),3,IF(P41&lt;(2),2,IF(P41&lt;(3),1,0)))))))</f>
        <v>0</v>
      </c>
      <c r="R41" s="444" t="s">
        <v>98</v>
      </c>
      <c r="S41" s="1091"/>
      <c r="T41" s="399" t="s">
        <v>61</v>
      </c>
      <c r="U41" s="383"/>
      <c r="V41" s="461" t="str">
        <f>IF(Q41&lt;0," ",IF(P41&lt;=0,Q41*10,""))</f>
        <v/>
      </c>
      <c r="W41" s="532"/>
      <c r="X41" s="462">
        <f>IF(Q41&lt;0," ",IF(P41&gt;=0,Q41*10,""))</f>
        <v>0</v>
      </c>
      <c r="Y41" s="506">
        <f>IF(Q41&lt;0,"",IF(P41&gt;=0,Q41*10,""))</f>
        <v>0</v>
      </c>
      <c r="Z41" s="448" t="str">
        <f>IF(Q41&lt;0,"",IF(P41&lt;=0,Q41*10,""))</f>
        <v/>
      </c>
      <c r="AA41" s="463">
        <f>IF(Q41&lt;0," ",Q41*10)</f>
        <v>0</v>
      </c>
      <c r="AB41" s="512"/>
      <c r="AC41" s="390"/>
      <c r="AD41" s="289"/>
      <c r="AE41" s="453"/>
      <c r="AF41" s="494" t="s">
        <v>117</v>
      </c>
      <c r="AG41" s="533" t="s">
        <v>140</v>
      </c>
      <c r="AH41" s="534" t="s">
        <v>147</v>
      </c>
      <c r="AI41" s="534" t="s">
        <v>147</v>
      </c>
      <c r="AJ41" s="495" t="s">
        <v>147</v>
      </c>
      <c r="AK41" s="495" t="s">
        <v>147</v>
      </c>
      <c r="AL41" s="509"/>
      <c r="AM41" s="495" t="s">
        <v>148</v>
      </c>
      <c r="AN41" s="534" t="s">
        <v>144</v>
      </c>
      <c r="AO41" s="292"/>
      <c r="AP41" s="300"/>
      <c r="AQ41" s="289"/>
      <c r="AR41" s="289"/>
    </row>
    <row r="42" spans="1:44" x14ac:dyDescent="0.3">
      <c r="A42" s="289"/>
      <c r="B42" s="529"/>
      <c r="C42" s="1093"/>
      <c r="D42" s="535"/>
      <c r="E42" s="536" t="s">
        <v>34</v>
      </c>
      <c r="F42" s="345">
        <f>IF(ISNUMBER('Eingabe-Maske'!F42)=TRUE,'Eingabe-Maske'!F42," ")</f>
        <v>1.75</v>
      </c>
      <c r="G42" s="503"/>
      <c r="H42" s="437"/>
      <c r="I42" s="379"/>
      <c r="J42" s="379"/>
      <c r="K42" s="379"/>
      <c r="L42" s="444" t="s">
        <v>98</v>
      </c>
      <c r="M42" s="299">
        <v>0.62</v>
      </c>
      <c r="N42" s="357">
        <v>0.18</v>
      </c>
      <c r="O42" s="358">
        <v>2</v>
      </c>
      <c r="P42" s="380">
        <f>('Eingabe-Maske'!F42-M42)/N42</f>
        <v>6.2777777777777777</v>
      </c>
      <c r="Q42" s="398">
        <f>IF(ISBLANK('Eingabe-Maske'!F42)=TRUE,-10,IF(P42&lt;(-3),0,IF(P42&lt;(-2),1,IF(P42&lt;(-1),2,IF(P42&lt;(1),3,IF(P42&lt;(2),2,IF(P42&lt;(3),1,0)))))))</f>
        <v>0</v>
      </c>
      <c r="R42" s="444" t="s">
        <v>98</v>
      </c>
      <c r="S42" s="1091"/>
      <c r="T42" s="399" t="s">
        <v>61</v>
      </c>
      <c r="U42" s="383"/>
      <c r="V42" s="461" t="str">
        <f>IF(Q42&lt;0," ",IF(P42&lt;=0,Q42*10,""))</f>
        <v/>
      </c>
      <c r="W42" s="532"/>
      <c r="X42" s="462">
        <f>IF(Q42&lt;0," ",IF(P42&gt;=0,Q42*10,""))</f>
        <v>0</v>
      </c>
      <c r="Y42" s="506">
        <f>IF(Q42&lt;0,"",IF(P42&gt;=0,Q42*10,""))</f>
        <v>0</v>
      </c>
      <c r="Z42" s="448" t="str">
        <f>IF(Q42&lt;0,"",IF(P42&lt;=0,Q42*10,""))</f>
        <v/>
      </c>
      <c r="AA42" s="463">
        <f>IF(Q42&lt;0," ",Q42*10)</f>
        <v>0</v>
      </c>
      <c r="AB42" s="512"/>
      <c r="AC42" s="390"/>
      <c r="AD42" s="289"/>
      <c r="AE42" s="453"/>
      <c r="AF42" s="526" t="s">
        <v>118</v>
      </c>
      <c r="AG42" s="528" t="s">
        <v>140</v>
      </c>
      <c r="AH42" s="528" t="s">
        <v>190</v>
      </c>
      <c r="AI42" s="528" t="s">
        <v>190</v>
      </c>
      <c r="AJ42" s="528" t="s">
        <v>190</v>
      </c>
      <c r="AK42" s="528" t="s">
        <v>190</v>
      </c>
      <c r="AL42" s="527"/>
      <c r="AM42" s="528" t="s">
        <v>190</v>
      </c>
      <c r="AN42" s="528" t="s">
        <v>148</v>
      </c>
      <c r="AO42" s="292"/>
      <c r="AP42" s="300"/>
      <c r="AQ42" s="289"/>
      <c r="AR42" s="289"/>
    </row>
    <row r="43" spans="1:44" x14ac:dyDescent="0.3">
      <c r="A43" s="289"/>
      <c r="B43" s="529"/>
      <c r="C43" s="537" t="s">
        <v>62</v>
      </c>
      <c r="D43" s="538" t="s">
        <v>63</v>
      </c>
      <c r="E43" s="531" t="s">
        <v>53</v>
      </c>
      <c r="F43" s="415" t="str">
        <f>IF(ISNUMBER('Eingabe-Maske'!F43)=TRUE,'Eingabe-Maske'!F43," ")</f>
        <v xml:space="preserve"> </v>
      </c>
      <c r="G43" s="415" t="str">
        <f>'Eingabe-Maske'!G43</f>
        <v>i</v>
      </c>
      <c r="H43" s="539" t="s">
        <v>222</v>
      </c>
      <c r="I43" s="379"/>
      <c r="J43" s="379"/>
      <c r="K43" s="379"/>
      <c r="L43" s="397" t="s">
        <v>99</v>
      </c>
      <c r="M43" s="299">
        <v>15</v>
      </c>
      <c r="N43" s="357">
        <v>5</v>
      </c>
      <c r="O43" s="358">
        <v>1</v>
      </c>
      <c r="P43" s="380">
        <f>('Eingabe-Maske'!F43-M43)/N43</f>
        <v>-3</v>
      </c>
      <c r="Q43" s="398">
        <f>IF(ISBLANK('Eingabe-Maske'!F43)=TRUE,-10,IF(P43&lt;(-3),0,IF(P43&lt;(-2),1,IF(P43&lt;(-1),2,IF(P43&lt;(1),3,IF(P43&lt;(2),4,IF(P43&lt;(3),4,4)))))))</f>
        <v>-10</v>
      </c>
      <c r="R43" s="397" t="s">
        <v>99</v>
      </c>
      <c r="S43" s="1091"/>
      <c r="T43" s="399" t="s">
        <v>99</v>
      </c>
      <c r="U43" s="383"/>
      <c r="V43" s="478" t="str">
        <f>IF(OR(Q43&lt;0,G43&lt;&gt;"o",G43&lt;&gt;"O"),"",Q43*10)</f>
        <v/>
      </c>
      <c r="W43" s="384"/>
      <c r="X43" s="486" t="str">
        <f>IF(OR(Q43&lt;0,G43&lt;&gt;"i",G43&lt;&gt;"I"),"",Q43*10)</f>
        <v/>
      </c>
      <c r="Y43" s="384"/>
      <c r="Z43" s="388"/>
      <c r="AA43" s="426"/>
      <c r="AB43" s="512"/>
      <c r="AC43" s="390"/>
      <c r="AD43" s="289"/>
      <c r="AE43" s="453"/>
      <c r="AF43" s="466"/>
      <c r="AG43" s="466"/>
      <c r="AH43" s="467"/>
      <c r="AI43" s="466"/>
      <c r="AJ43" s="466"/>
      <c r="AK43" s="454"/>
      <c r="AL43" s="466"/>
      <c r="AM43" s="466"/>
      <c r="AN43" s="466"/>
      <c r="AO43" s="292"/>
      <c r="AP43" s="300"/>
      <c r="AQ43" s="289"/>
      <c r="AR43" s="289"/>
    </row>
    <row r="44" spans="1:44" x14ac:dyDescent="0.3">
      <c r="A44" s="289"/>
      <c r="B44" s="529"/>
      <c r="C44" s="540" t="s">
        <v>202</v>
      </c>
      <c r="D44" s="541" t="s">
        <v>64</v>
      </c>
      <c r="E44" s="440" t="s">
        <v>53</v>
      </c>
      <c r="F44" s="415">
        <f>IF(ISNUMBER('Eingabe-Maske'!F44)=TRUE,'Eingabe-Maske'!F44," ")</f>
        <v>3</v>
      </c>
      <c r="G44" s="415" t="str">
        <f>'Eingabe-Maske'!G44</f>
        <v>m</v>
      </c>
      <c r="H44" s="539" t="s">
        <v>223</v>
      </c>
      <c r="I44" s="379"/>
      <c r="J44" s="379"/>
      <c r="K44" s="379"/>
      <c r="L44" s="444" t="s">
        <v>199</v>
      </c>
      <c r="M44" s="542">
        <f ca="1">AF15</f>
        <v>5</v>
      </c>
      <c r="N44" s="543">
        <f ca="1">AG15</f>
        <v>2.5</v>
      </c>
      <c r="O44" s="358">
        <v>1</v>
      </c>
      <c r="P44" s="380">
        <f ca="1">('Eingabe-Maske'!F44-M44)/N44</f>
        <v>-0.8</v>
      </c>
      <c r="Q44" s="398">
        <f ca="1">IF(ISBLANK('Eingabe-Maske'!F44)=TRUE,-10,IF(P44&lt;(-3),0,IF(P44&lt;(-2),1,IF(P44&lt;(-1),2,IF(P44&lt;(1),3,IF(P44&lt;(2),4,IF(P44&lt;(3),4,4)))))))</f>
        <v>3</v>
      </c>
      <c r="R44" s="444" t="s">
        <v>199</v>
      </c>
      <c r="S44" s="1091"/>
      <c r="T44" s="399" t="s">
        <v>199</v>
      </c>
      <c r="U44" s="383"/>
      <c r="V44" s="461" t="str">
        <f ca="1">IF(OR(Q44&lt;0,G44&lt;&gt;"p",G44&lt;&gt;"P"),"",Q44*10)</f>
        <v/>
      </c>
      <c r="W44" s="384"/>
      <c r="X44" s="462">
        <f ca="1">IF(OR(Q44&lt;0,G44&lt;&gt;"m",G44&lt;&gt;"M"),"",Q44*10)</f>
        <v>30</v>
      </c>
      <c r="Y44" s="506">
        <f ca="1">IF(OR(Q44&lt;0,G$44&lt;&gt;"m",G$44&lt;&gt;"M"),"",Q44*10)</f>
        <v>30</v>
      </c>
      <c r="Z44" s="448" t="str">
        <f ca="1">IF(OR(Q44&lt;0,G$44&lt;&gt;"p",G$44&lt;&gt;"P"),"",Q44*10)</f>
        <v/>
      </c>
      <c r="AA44" s="463">
        <f ca="1">IF(Q44&lt;0," ",Q44*10)</f>
        <v>30</v>
      </c>
      <c r="AB44" s="464">
        <f ca="1">IF(AND(ISNUMBER(AA44),ISNUMBER(AA45),ISNUMBER(AA45)),IF(AND(OR(AA44&lt;AA45,AA44&lt;AA46),AA44&lt;30),10,0)," ")</f>
        <v>0</v>
      </c>
      <c r="AC44" s="449" t="s">
        <v>199</v>
      </c>
      <c r="AD44" s="289"/>
      <c r="AE44" s="453"/>
      <c r="AF44" s="466"/>
      <c r="AG44" s="495"/>
      <c r="AH44" s="495"/>
      <c r="AI44" s="495"/>
      <c r="AJ44" s="495"/>
      <c r="AK44" s="467"/>
      <c r="AL44" s="467"/>
      <c r="AM44" s="466"/>
      <c r="AN44" s="292"/>
      <c r="AO44" s="292"/>
      <c r="AP44" s="300"/>
      <c r="AQ44" s="289"/>
      <c r="AR44" s="289"/>
    </row>
    <row r="45" spans="1:44" x14ac:dyDescent="0.3">
      <c r="A45" s="289"/>
      <c r="B45" s="529"/>
      <c r="C45" s="483" t="s">
        <v>128</v>
      </c>
      <c r="D45" s="544" t="s">
        <v>64</v>
      </c>
      <c r="E45" s="384" t="s">
        <v>32</v>
      </c>
      <c r="F45" s="415">
        <f>IF(ISNUMBER('Eingabe-Maske'!F45)=TRUE,'Eingabe-Maske'!F45," ")</f>
        <v>4</v>
      </c>
      <c r="G45" s="545"/>
      <c r="H45" s="546"/>
      <c r="I45" s="379"/>
      <c r="J45" s="379"/>
      <c r="K45" s="379"/>
      <c r="L45" s="444" t="s">
        <v>200</v>
      </c>
      <c r="M45" s="542">
        <f ca="1">AF16</f>
        <v>7</v>
      </c>
      <c r="N45" s="543">
        <f ca="1">AG16</f>
        <v>2.5</v>
      </c>
      <c r="O45" s="358">
        <v>1</v>
      </c>
      <c r="P45" s="380">
        <f ca="1">('Eingabe-Maske'!F45-M45)/N45</f>
        <v>-1.2</v>
      </c>
      <c r="Q45" s="398">
        <f ca="1">IF(OR(ISBLANK('Eingabe-Maske'!F45)=TRUE,E9&gt;40),-10,IF(P45&lt;(-3),0,IF(P45&lt;(-2),1,IF(P45&lt;(-1),2,IF(P45&lt;(1),3,IF(P45&lt;(2),4,IF(P45&lt;(3),4,4)))))))</f>
        <v>2</v>
      </c>
      <c r="R45" s="444" t="s">
        <v>200</v>
      </c>
      <c r="S45" s="1091"/>
      <c r="T45" s="399" t="s">
        <v>200</v>
      </c>
      <c r="U45" s="383"/>
      <c r="V45" s="446"/>
      <c r="W45" s="384"/>
      <c r="X45" s="425"/>
      <c r="Y45" s="506">
        <f t="shared" ref="Y45:Y46" ca="1" si="1">IF(OR(Q45&lt;0,G$44&lt;&gt;"m",G$44&lt;&gt;"M"),"",Q45*10)</f>
        <v>20</v>
      </c>
      <c r="Z45" s="448" t="str">
        <f t="shared" ref="Z45:Z46" ca="1" si="2">IF(OR(Q45&lt;0,G$44&lt;&gt;"p",G$44&lt;&gt;"P"),"",Q45*10)</f>
        <v/>
      </c>
      <c r="AA45" s="426">
        <f ca="1">IF(Q45&lt;0," ",Q45*10)</f>
        <v>20</v>
      </c>
      <c r="AB45" s="512"/>
      <c r="AC45" s="449" t="s">
        <v>200</v>
      </c>
      <c r="AD45" s="289"/>
      <c r="AE45" s="298"/>
      <c r="AF45" s="292"/>
      <c r="AG45" s="547"/>
      <c r="AH45" s="467"/>
      <c r="AI45" s="467"/>
      <c r="AJ45" s="467"/>
      <c r="AK45" s="467"/>
      <c r="AL45" s="299"/>
      <c r="AM45" s="292"/>
      <c r="AN45" s="292"/>
      <c r="AO45" s="292"/>
      <c r="AP45" s="300"/>
      <c r="AQ45" s="289"/>
      <c r="AR45" s="289"/>
    </row>
    <row r="46" spans="1:44" ht="15" thickBot="1" x14ac:dyDescent="0.35">
      <c r="A46" s="289"/>
      <c r="B46" s="529"/>
      <c r="C46" s="548" t="s">
        <v>128</v>
      </c>
      <c r="D46" s="549" t="s">
        <v>64</v>
      </c>
      <c r="E46" s="550" t="s">
        <v>34</v>
      </c>
      <c r="F46" s="415">
        <f>IF(ISNUMBER('Eingabe-Maske'!F46)=TRUE,'Eingabe-Maske'!F46," ")</f>
        <v>4</v>
      </c>
      <c r="G46" s="551"/>
      <c r="H46" s="546"/>
      <c r="I46" s="1088" t="s">
        <v>153</v>
      </c>
      <c r="J46" s="1088"/>
      <c r="K46" s="379"/>
      <c r="L46" s="444" t="s">
        <v>200</v>
      </c>
      <c r="M46" s="542">
        <f ca="1">AF16</f>
        <v>7</v>
      </c>
      <c r="N46" s="543">
        <f ca="1">AG16</f>
        <v>2.5</v>
      </c>
      <c r="O46" s="358">
        <v>1</v>
      </c>
      <c r="P46" s="380">
        <f ca="1">('Eingabe-Maske'!F46-M46)/N46</f>
        <v>-1.2</v>
      </c>
      <c r="Q46" s="398">
        <f ca="1">IF(ISBLANK('Eingabe-Maske'!F46)=TRUE,-10,IF(P46&lt;(-3),0,IF(P46&lt;(-2),1,IF(P46&lt;(-1),2,IF(P46&lt;(1),3,IF(P46&lt;(2),4,IF(P46&lt;(3),4,4)))))))</f>
        <v>2</v>
      </c>
      <c r="R46" s="444" t="s">
        <v>200</v>
      </c>
      <c r="S46" s="1091"/>
      <c r="T46" s="399" t="s">
        <v>200</v>
      </c>
      <c r="U46" s="383"/>
      <c r="V46" s="446"/>
      <c r="W46" s="384"/>
      <c r="X46" s="425"/>
      <c r="Y46" s="506">
        <f t="shared" ca="1" si="1"/>
        <v>20</v>
      </c>
      <c r="Z46" s="448" t="str">
        <f t="shared" ca="1" si="2"/>
        <v/>
      </c>
      <c r="AA46" s="426">
        <f ca="1">IF(Q46&lt;0," ",Q46*10)</f>
        <v>20</v>
      </c>
      <c r="AB46" s="512"/>
      <c r="AC46" s="449" t="s">
        <v>200</v>
      </c>
      <c r="AD46" s="289"/>
      <c r="AE46" s="552"/>
      <c r="AF46" s="553"/>
      <c r="AG46" s="553"/>
      <c r="AH46" s="554"/>
      <c r="AI46" s="554"/>
      <c r="AJ46" s="554"/>
      <c r="AK46" s="554"/>
      <c r="AL46" s="553"/>
      <c r="AM46" s="553"/>
      <c r="AN46" s="553"/>
      <c r="AO46" s="553"/>
      <c r="AP46" s="555"/>
      <c r="AQ46" s="289"/>
      <c r="AR46" s="289"/>
    </row>
    <row r="47" spans="1:44" ht="15" thickTop="1" x14ac:dyDescent="0.3">
      <c r="A47" s="289"/>
      <c r="B47" s="529"/>
      <c r="C47" s="556" t="s">
        <v>93</v>
      </c>
      <c r="D47" s="535" t="s">
        <v>58</v>
      </c>
      <c r="E47" s="536" t="s">
        <v>53</v>
      </c>
      <c r="F47" s="415">
        <f>IF(ISNUMBER('Eingabe-Maske'!F47)=TRUE,'Eingabe-Maske'!F47," ")</f>
        <v>7</v>
      </c>
      <c r="G47" s="437"/>
      <c r="H47" s="557" t="s">
        <v>152</v>
      </c>
      <c r="I47" s="558" t="s">
        <v>221</v>
      </c>
      <c r="J47" s="559" t="s">
        <v>17</v>
      </c>
      <c r="K47" s="431"/>
      <c r="L47" s="333" t="s">
        <v>57</v>
      </c>
      <c r="M47" s="299">
        <v>6.4</v>
      </c>
      <c r="N47" s="357">
        <v>1.8</v>
      </c>
      <c r="O47" s="358">
        <v>1</v>
      </c>
      <c r="P47" s="380">
        <f>('Eingabe-Maske'!F47-M47)/N47</f>
        <v>0.33333333333333315</v>
      </c>
      <c r="Q47" s="398">
        <f>IF(ISBLANK('Eingabe-Maske'!F47)=TRUE,-10,IF(P47&gt;(3),0,IF(P47&gt;(2),1,IF(P47&gt;(1),2,IF(P47&gt;(-1),3,IF(P47&gt;(-1),4,IF(P47&gt;(-2),4,4)))))))</f>
        <v>3</v>
      </c>
      <c r="R47" s="333" t="s">
        <v>57</v>
      </c>
      <c r="S47" s="1091"/>
      <c r="T47" s="399" t="s">
        <v>57</v>
      </c>
      <c r="U47" s="383"/>
      <c r="V47" s="461">
        <f>IF(Q47&lt;0," ",Q47*10)</f>
        <v>30</v>
      </c>
      <c r="W47" s="384"/>
      <c r="X47" s="425"/>
      <c r="Y47" s="384"/>
      <c r="Z47" s="388"/>
      <c r="AA47" s="426"/>
      <c r="AB47" s="512"/>
      <c r="AC47" s="390"/>
      <c r="AD47" s="289"/>
      <c r="AE47" s="289"/>
      <c r="AF47" s="289"/>
      <c r="AG47" s="289"/>
      <c r="AH47" s="454"/>
      <c r="AI47" s="454"/>
      <c r="AJ47" s="454"/>
      <c r="AK47" s="454"/>
      <c r="AL47" s="289"/>
      <c r="AM47" s="289"/>
      <c r="AN47" s="289"/>
      <c r="AO47" s="289"/>
      <c r="AP47" s="289"/>
      <c r="AQ47" s="289"/>
      <c r="AR47" s="289"/>
    </row>
    <row r="48" spans="1:44" x14ac:dyDescent="0.3">
      <c r="A48" s="289"/>
      <c r="B48" s="529"/>
      <c r="C48" s="1092" t="s">
        <v>59</v>
      </c>
      <c r="D48" s="531" t="s">
        <v>58</v>
      </c>
      <c r="E48" s="560" t="s">
        <v>53</v>
      </c>
      <c r="F48" s="415">
        <f>IF(ISNUMBER('Eingabe-Maske'!F48)=TRUE,'Eingabe-Maske'!F48," ")</f>
        <v>8</v>
      </c>
      <c r="G48" s="561">
        <f>IF('Eingabe-Maske'!F48="","",ROUND(((100/F48)*4),0)/4)</f>
        <v>12.5</v>
      </c>
      <c r="H48" s="562">
        <f ca="1">15-(0.25*IF((E9&lt;54),E9,54))</f>
        <v>12.5</v>
      </c>
      <c r="I48" s="431">
        <f ca="1">M48</f>
        <v>15.5</v>
      </c>
      <c r="J48" s="563">
        <f ca="1">25-(0.4*IF((E9&lt;54),E9,54))</f>
        <v>21</v>
      </c>
      <c r="K48" s="431"/>
      <c r="L48" s="564" t="s">
        <v>204</v>
      </c>
      <c r="M48" s="323">
        <f ca="1">18.5-(0.3*IF((E9&lt;54),E9,54))</f>
        <v>15.5</v>
      </c>
      <c r="N48" s="418">
        <v>2</v>
      </c>
      <c r="O48" s="358">
        <v>1</v>
      </c>
      <c r="P48" s="380">
        <f ca="1">(G48-M48)/N48</f>
        <v>-1.5</v>
      </c>
      <c r="Q48" s="398">
        <f ca="1">IF(ISBLANK('Eingabe-Maske'!F48)=TRUE,-10,IF(P48&lt;(-3),0,IF(P48&lt;(-2),1,IF(P48&lt;(-1),2,IF(P48&lt;(1),3,IF(P48&lt;(2),4,IF(P48&lt;(3),4,4)))))))</f>
        <v>2</v>
      </c>
      <c r="R48" s="564" t="s">
        <v>204</v>
      </c>
      <c r="S48" s="1091"/>
      <c r="T48" s="399" t="s">
        <v>123</v>
      </c>
      <c r="U48" s="383"/>
      <c r="V48" s="446"/>
      <c r="W48" s="384"/>
      <c r="X48" s="425"/>
      <c r="Y48" s="506">
        <f ca="1">IF(Q48&lt;0,"",IF(P48&lt;=0,Q48*10,""))</f>
        <v>20</v>
      </c>
      <c r="Z48" s="448" t="str">
        <f ca="1">IF(Q48&lt;0,"",IF(P48&gt;=0,Q48*10,""))</f>
        <v/>
      </c>
      <c r="AA48" s="463">
        <f ca="1">IF(Q48&lt;0," ",Q48*10)</f>
        <v>20</v>
      </c>
      <c r="AB48" s="464">
        <f ca="1">IF(AND(ISNUMBER(AA48),ISNUMBER(AA49),ISNUMBER(AA49)),IF(AND(OR(AA48&lt;AA49,AA48&lt;AA50),AA48&lt;30),10,0)," ")</f>
        <v>0</v>
      </c>
      <c r="AC48" s="449" t="s">
        <v>204</v>
      </c>
      <c r="AD48" s="289"/>
      <c r="AE48" s="289" t="s">
        <v>188</v>
      </c>
      <c r="AF48" s="565" t="b">
        <f ca="1">AND(ISNUMBER(AA48),OR(AND(ISNUMBER(AA41),ISNUMBER(AA42)),ISNUMBER(AA26)),ISNUMBER(AA34),ISNUMBER(AA37),OR(ISNUMBER(AA44),ISNUMBER(AA40)))</f>
        <v>1</v>
      </c>
      <c r="AG48" s="550" t="b">
        <f ca="1">ISNUMBER(AA48)</f>
        <v>1</v>
      </c>
      <c r="AH48" s="1084" t="b">
        <f>OR(AND(ISNUMBER(AA41),ISNUMBER(AA42)),ISNUMBER(AA26))</f>
        <v>1</v>
      </c>
      <c r="AI48" s="1084"/>
      <c r="AJ48" s="1084"/>
      <c r="AK48" s="454"/>
      <c r="AL48" s="550" t="b">
        <f>ISNUMBER(AA34)</f>
        <v>1</v>
      </c>
      <c r="AM48" s="536" t="b">
        <f>ISNUMBER(AA37)</f>
        <v>1</v>
      </c>
      <c r="AN48" s="550" t="b">
        <f ca="1">ISNUMBER(AA44)</f>
        <v>1</v>
      </c>
      <c r="AO48" s="289"/>
      <c r="AP48" s="289"/>
      <c r="AQ48" s="289"/>
      <c r="AR48" s="289"/>
    </row>
    <row r="49" spans="1:44" x14ac:dyDescent="0.3">
      <c r="A49" s="289"/>
      <c r="B49" s="529"/>
      <c r="C49" s="1094"/>
      <c r="D49" s="323" t="s">
        <v>58</v>
      </c>
      <c r="E49" s="323" t="s">
        <v>32</v>
      </c>
      <c r="F49" s="415">
        <f>IF(ISNUMBER('Eingabe-Maske'!F49)=TRUE,'Eingabe-Maske'!F49," ")</f>
        <v>8</v>
      </c>
      <c r="G49" s="561">
        <f>IF('Eingabe-Maske'!F49="","",ROUND(((100/F49)*4),0)/4)</f>
        <v>12.5</v>
      </c>
      <c r="H49" s="562">
        <f ca="1">15-(0.25*IF((E9&lt;54),E9,54))</f>
        <v>12.5</v>
      </c>
      <c r="I49" s="431">
        <f t="shared" ref="I49:I50" ca="1" si="3">M49</f>
        <v>15.5</v>
      </c>
      <c r="J49" s="563">
        <f ca="1">25-(0.4*IF((E9&lt;54),E9,54))</f>
        <v>21</v>
      </c>
      <c r="K49" s="431"/>
      <c r="L49" s="564" t="s">
        <v>205</v>
      </c>
      <c r="M49" s="323">
        <f ca="1">18.5-(0.3*IF((E9&lt;54),E9,54))</f>
        <v>15.5</v>
      </c>
      <c r="N49" s="418">
        <v>2</v>
      </c>
      <c r="O49" s="358">
        <v>1</v>
      </c>
      <c r="P49" s="380">
        <f ca="1">(G49-M49)/N49</f>
        <v>-1.5</v>
      </c>
      <c r="Q49" s="398">
        <f ca="1">IF(ISBLANK('Eingabe-Maske'!F49)=TRUE,-10,IF(P49&lt;(-3),0,IF(P49&lt;(-2),1,IF(P49&lt;(-1),2,IF(P49&lt;(1),3,IF(P49&lt;(2),4,IF(P49&lt;(3),4,4)))))))</f>
        <v>2</v>
      </c>
      <c r="R49" s="564" t="s">
        <v>205</v>
      </c>
      <c r="S49" s="1091"/>
      <c r="T49" s="483" t="s">
        <v>124</v>
      </c>
      <c r="U49" s="383"/>
      <c r="V49" s="446"/>
      <c r="W49" s="384"/>
      <c r="X49" s="425"/>
      <c r="Y49" s="506">
        <f ca="1">IF(Q49&lt;0,"",IF(P49&lt;=0,Q49*10,""))</f>
        <v>20</v>
      </c>
      <c r="Z49" s="448" t="str">
        <f ca="1">IF(Q49&lt;0,"",IF(P49&gt;=0,Q49*10,""))</f>
        <v/>
      </c>
      <c r="AA49" s="426">
        <f ca="1">IF(Q49&lt;0," ",Q49*10)</f>
        <v>20</v>
      </c>
      <c r="AB49" s="512"/>
      <c r="AC49" s="449" t="s">
        <v>205</v>
      </c>
      <c r="AD49" s="289"/>
      <c r="AE49" s="289"/>
      <c r="AF49" s="566"/>
      <c r="AG49" s="567" t="s">
        <v>225</v>
      </c>
      <c r="AH49" s="568" t="s">
        <v>226</v>
      </c>
      <c r="AI49" s="569" t="s">
        <v>227</v>
      </c>
      <c r="AJ49" s="570" t="s">
        <v>228</v>
      </c>
      <c r="AK49" s="570" t="s">
        <v>229</v>
      </c>
      <c r="AL49" s="567" t="s">
        <v>230</v>
      </c>
      <c r="AM49" s="571" t="s">
        <v>231</v>
      </c>
      <c r="AN49" s="567" t="s">
        <v>232</v>
      </c>
      <c r="AO49" s="289"/>
      <c r="AP49" s="289"/>
      <c r="AQ49" s="289"/>
      <c r="AR49" s="289"/>
    </row>
    <row r="50" spans="1:44" x14ac:dyDescent="0.3">
      <c r="A50" s="289"/>
      <c r="B50" s="529"/>
      <c r="C50" s="1093"/>
      <c r="D50" s="536" t="s">
        <v>58</v>
      </c>
      <c r="E50" s="536" t="s">
        <v>34</v>
      </c>
      <c r="F50" s="415">
        <f>IF(ISNUMBER('Eingabe-Maske'!F50)=TRUE,'Eingabe-Maske'!F50," ")</f>
        <v>8</v>
      </c>
      <c r="G50" s="561">
        <f>IF('Eingabe-Maske'!F50="","",ROUND(((100/F50)*4),0)/4)</f>
        <v>12.5</v>
      </c>
      <c r="H50" s="572">
        <f ca="1">15-(0.25*IF((E9&lt;54),E9,54))</f>
        <v>12.5</v>
      </c>
      <c r="I50" s="573">
        <f t="shared" ca="1" si="3"/>
        <v>15.5</v>
      </c>
      <c r="J50" s="574">
        <f ca="1">25-(0.4*IF((E9&lt;54),E9,54))</f>
        <v>21</v>
      </c>
      <c r="K50" s="431"/>
      <c r="L50" s="564" t="s">
        <v>205</v>
      </c>
      <c r="M50" s="323">
        <f ca="1">18.5-(0.3*IF((E9&lt;54),E9,54))</f>
        <v>15.5</v>
      </c>
      <c r="N50" s="418">
        <v>2</v>
      </c>
      <c r="O50" s="358">
        <v>1</v>
      </c>
      <c r="P50" s="380">
        <f ca="1">(G50-M50)/N50</f>
        <v>-1.5</v>
      </c>
      <c r="Q50" s="398">
        <f ca="1">IF(ISBLANK('Eingabe-Maske'!F50)=TRUE,-10,IF(P50&lt;(-3),0,IF(P50&lt;(-2),1,IF(P50&lt;(-1),2,IF(P50&lt;(1),3,IF(P50&lt;(2),4,IF(P50&lt;(3),4,4)))))))</f>
        <v>2</v>
      </c>
      <c r="R50" s="564" t="s">
        <v>205</v>
      </c>
      <c r="S50" s="1091"/>
      <c r="T50" s="483" t="s">
        <v>125</v>
      </c>
      <c r="U50" s="383"/>
      <c r="V50" s="446"/>
      <c r="W50" s="384"/>
      <c r="X50" s="425"/>
      <c r="Y50" s="506">
        <f ca="1">IF(Q50&lt;0,"",IF(P50&lt;=0,Q50*10,""))</f>
        <v>20</v>
      </c>
      <c r="Z50" s="448" t="str">
        <f ca="1">IF(Q50&lt;0,"",IF(P50&gt;=0,Q50*10,""))</f>
        <v/>
      </c>
      <c r="AA50" s="426">
        <f ca="1">IF(Q50&lt;0," ",Q50*10)</f>
        <v>20</v>
      </c>
      <c r="AB50" s="512"/>
      <c r="AC50" s="449" t="s">
        <v>205</v>
      </c>
      <c r="AD50" s="289"/>
      <c r="AE50" s="289"/>
      <c r="AF50" s="575"/>
      <c r="AG50" s="576" t="s">
        <v>110</v>
      </c>
      <c r="AH50" s="577" t="s">
        <v>60</v>
      </c>
      <c r="AI50" s="578" t="s">
        <v>60</v>
      </c>
      <c r="AJ50" s="579" t="s">
        <v>52</v>
      </c>
      <c r="AK50" s="579" t="s">
        <v>52</v>
      </c>
      <c r="AL50" s="576" t="s">
        <v>101</v>
      </c>
      <c r="AM50" s="580" t="s">
        <v>102</v>
      </c>
      <c r="AN50" s="576" t="s">
        <v>111</v>
      </c>
      <c r="AO50" s="289"/>
      <c r="AP50" s="289"/>
      <c r="AQ50" s="289"/>
      <c r="AR50" s="289"/>
    </row>
    <row r="51" spans="1:44" x14ac:dyDescent="0.3">
      <c r="A51" s="289"/>
      <c r="B51" s="298"/>
      <c r="C51" s="309"/>
      <c r="D51" s="299"/>
      <c r="E51" s="299"/>
      <c r="F51" s="292"/>
      <c r="G51" s="292"/>
      <c r="H51" s="292"/>
      <c r="I51" s="292"/>
      <c r="J51" s="292"/>
      <c r="K51" s="292"/>
      <c r="L51" s="292"/>
      <c r="M51" s="292"/>
      <c r="N51" s="300"/>
      <c r="O51" s="581"/>
      <c r="P51" s="289"/>
      <c r="Q51" s="582"/>
      <c r="R51" s="291"/>
      <c r="S51" s="333"/>
      <c r="T51" s="540"/>
      <c r="U51" s="438"/>
      <c r="V51" s="583"/>
      <c r="W51" s="440"/>
      <c r="X51" s="584"/>
      <c r="Y51" s="384"/>
      <c r="Z51" s="388"/>
      <c r="AA51" s="426"/>
      <c r="AB51" s="323"/>
      <c r="AC51" s="390"/>
      <c r="AD51" s="289"/>
      <c r="AE51" s="289"/>
      <c r="AF51" s="585"/>
      <c r="AG51" s="576">
        <f ca="1">AA48</f>
        <v>20</v>
      </c>
      <c r="AH51" s="577">
        <f>AA41</f>
        <v>0</v>
      </c>
      <c r="AI51" s="578">
        <f>AA42</f>
        <v>0</v>
      </c>
      <c r="AJ51" s="579" t="str">
        <f>AA26</f>
        <v xml:space="preserve"> </v>
      </c>
      <c r="AK51" s="579" t="str">
        <f>AA26</f>
        <v xml:space="preserve"> </v>
      </c>
      <c r="AL51" s="576">
        <f>AA34</f>
        <v>20</v>
      </c>
      <c r="AM51" s="580">
        <f>AA37</f>
        <v>20</v>
      </c>
      <c r="AN51" s="576">
        <f ca="1">AA44</f>
        <v>30</v>
      </c>
      <c r="AO51" s="289"/>
      <c r="AP51" s="289"/>
      <c r="AQ51" s="289"/>
      <c r="AR51" s="289"/>
    </row>
    <row r="52" spans="1:44" ht="15" thickBot="1" x14ac:dyDescent="0.35">
      <c r="A52" s="289"/>
      <c r="B52" s="298"/>
      <c r="C52" s="1097" t="s">
        <v>65</v>
      </c>
      <c r="D52" s="1097"/>
      <c r="E52" s="299"/>
      <c r="F52" s="1097" t="s">
        <v>66</v>
      </c>
      <c r="G52" s="1097"/>
      <c r="H52" s="374"/>
      <c r="I52" s="292"/>
      <c r="J52" s="289"/>
      <c r="K52" s="289"/>
      <c r="L52" s="292"/>
      <c r="M52" s="292"/>
      <c r="N52" s="300"/>
      <c r="O52" s="581"/>
      <c r="P52" s="289"/>
      <c r="Q52" s="582"/>
      <c r="R52" s="291"/>
      <c r="S52" s="289"/>
      <c r="T52" s="483"/>
      <c r="U52" s="383"/>
      <c r="V52" s="334"/>
      <c r="W52" s="383"/>
      <c r="X52" s="332"/>
      <c r="Y52" s="384"/>
      <c r="Z52" s="425"/>
      <c r="AA52" s="426"/>
      <c r="AB52" s="323"/>
      <c r="AC52" s="390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</row>
    <row r="53" spans="1:44" ht="15" thickBot="1" x14ac:dyDescent="0.35">
      <c r="A53" s="289"/>
      <c r="B53" s="298"/>
      <c r="C53" s="586" t="s">
        <v>67</v>
      </c>
      <c r="D53" s="587">
        <f>G48</f>
        <v>12.5</v>
      </c>
      <c r="E53" s="299"/>
      <c r="F53" s="586" t="s">
        <v>68</v>
      </c>
      <c r="G53" s="344">
        <f>(((C10/4)+F23)-(0+F17))/2.5</f>
        <v>11.6</v>
      </c>
      <c r="H53" s="344" t="str">
        <f>IF(Q53&lt;3,"Low",IF(Q53&gt;3,"High","Norm"))</f>
        <v>High</v>
      </c>
      <c r="I53" s="292"/>
      <c r="J53" s="289"/>
      <c r="K53" s="289"/>
      <c r="L53" s="588" t="s">
        <v>69</v>
      </c>
      <c r="M53" s="323">
        <v>4.5</v>
      </c>
      <c r="N53" s="589">
        <v>1.5</v>
      </c>
      <c r="O53" s="590">
        <v>3</v>
      </c>
      <c r="P53" s="380">
        <f>(G53-M53)/N53</f>
        <v>4.7333333333333334</v>
      </c>
      <c r="Q53" s="359">
        <f>IF(ISBLANK(F17)=TRUE," ",IF(ISBLANK(F23)=TRUE," ",IF(P53&lt;(-3),0,IF(P53&lt;(-2),1,IF(P53&lt;(-1),2,IF(P53&lt;(1),3,IF(P53&lt;(2),4,IF(P53&lt;(3),5,6))))))))</f>
        <v>6</v>
      </c>
      <c r="R53" s="291"/>
      <c r="S53" s="290"/>
      <c r="T53" s="383"/>
      <c r="U53" s="383"/>
      <c r="V53" s="334"/>
      <c r="W53" s="383"/>
      <c r="X53" s="332"/>
      <c r="Y53" s="384"/>
      <c r="Z53" s="425"/>
      <c r="AA53" s="426"/>
      <c r="AB53" s="323"/>
      <c r="AC53" s="390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</row>
    <row r="54" spans="1:44" x14ac:dyDescent="0.3">
      <c r="A54" s="289"/>
      <c r="B54" s="298"/>
      <c r="C54" s="586" t="s">
        <v>70</v>
      </c>
      <c r="D54" s="344">
        <f ca="1">15-(E9*0.25)</f>
        <v>12.5</v>
      </c>
      <c r="E54" s="299"/>
      <c r="F54" s="591" t="s">
        <v>245</v>
      </c>
      <c r="G54" s="344" t="str">
        <f>IF(F17&gt;(1.2),"ESO",IF(F17&lt;(-2.2),"EXO","Normal"))</f>
        <v>EXO</v>
      </c>
      <c r="H54" s="592">
        <f>Q17</f>
        <v>0</v>
      </c>
      <c r="I54" s="292"/>
      <c r="J54" s="289"/>
      <c r="K54" s="289"/>
      <c r="L54" s="292"/>
      <c r="M54" s="292"/>
      <c r="N54" s="300"/>
      <c r="O54" s="292"/>
      <c r="P54" s="289"/>
      <c r="Q54" s="289"/>
      <c r="R54" s="291"/>
      <c r="S54" s="289"/>
      <c r="T54" s="548"/>
      <c r="U54" s="593"/>
      <c r="V54" s="342"/>
      <c r="W54" s="593"/>
      <c r="X54" s="339"/>
      <c r="Y54" s="550"/>
      <c r="Z54" s="565"/>
      <c r="AA54" s="426"/>
      <c r="AB54" s="323"/>
      <c r="AC54" s="390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</row>
    <row r="55" spans="1:44" x14ac:dyDescent="0.3">
      <c r="A55" s="289"/>
      <c r="B55" s="298"/>
      <c r="C55" s="594"/>
      <c r="D55" s="393"/>
      <c r="E55" s="299"/>
      <c r="F55" s="591" t="s">
        <v>246</v>
      </c>
      <c r="G55" s="344" t="str">
        <f>IF(F23&gt;(-0.5),"ESO",IF(F23&lt;(-7.5),"EXO","Normal"))</f>
        <v>Normal</v>
      </c>
      <c r="H55" s="592">
        <f>Q23</f>
        <v>3</v>
      </c>
      <c r="I55" s="292"/>
      <c r="J55" s="292"/>
      <c r="K55" s="292"/>
      <c r="L55" s="292"/>
      <c r="M55" s="292"/>
      <c r="N55" s="300"/>
      <c r="O55" s="292"/>
      <c r="P55" s="289"/>
      <c r="Q55" s="289"/>
      <c r="R55" s="291"/>
      <c r="S55" s="289"/>
      <c r="T55" s="540" t="s">
        <v>127</v>
      </c>
      <c r="U55" s="595">
        <f>COUNT(U18:U20)</f>
        <v>2</v>
      </c>
      <c r="V55" s="595">
        <f>COUNT(V28:V30,V43)</f>
        <v>2</v>
      </c>
      <c r="W55" s="596">
        <f>COUNT(W21:W22)</f>
        <v>2</v>
      </c>
      <c r="X55" s="597">
        <f>COUNT(X31:X33,X43)</f>
        <v>3</v>
      </c>
      <c r="Y55" s="598">
        <f ca="1">COUNT(Y24:Y50)</f>
        <v>9</v>
      </c>
      <c r="Z55" s="599">
        <f ca="1">COUNT(Z24:Z50)</f>
        <v>1</v>
      </c>
      <c r="AA55" s="600">
        <f ca="1">COUNT(AA24:AA50)</f>
        <v>10</v>
      </c>
      <c r="AB55" s="601">
        <f ca="1">COUNT(AB26,AB27,AB34,AB37,AB44,AB48)</f>
        <v>2</v>
      </c>
      <c r="AC55" s="390"/>
      <c r="AD55" s="289"/>
      <c r="AE55" s="289" t="s">
        <v>151</v>
      </c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</row>
    <row r="56" spans="1:44" x14ac:dyDescent="0.3">
      <c r="A56" s="289"/>
      <c r="B56" s="298"/>
      <c r="C56" s="309"/>
      <c r="D56" s="299"/>
      <c r="E56" s="299"/>
      <c r="F56" s="292"/>
      <c r="G56" s="292"/>
      <c r="H56" s="292"/>
      <c r="I56" s="292"/>
      <c r="J56" s="299"/>
      <c r="K56" s="299"/>
      <c r="L56" s="299"/>
      <c r="M56" s="299"/>
      <c r="N56" s="300"/>
      <c r="O56" s="290"/>
      <c r="P56" s="290"/>
      <c r="Q56" s="290"/>
      <c r="R56" s="602"/>
      <c r="S56" s="290"/>
      <c r="T56" s="548" t="s">
        <v>126</v>
      </c>
      <c r="U56" s="550"/>
      <c r="V56" s="603">
        <f ca="1">COUNT(V26:V27,V37,V44,V47,V41,V42)</f>
        <v>2</v>
      </c>
      <c r="W56" s="550"/>
      <c r="X56" s="604">
        <f ca="1">COUNT(X26:X27,X34,X41,X42,X44)</f>
        <v>4</v>
      </c>
      <c r="Y56" s="289"/>
      <c r="Z56" s="289"/>
      <c r="AA56" s="605"/>
      <c r="AB56" s="606"/>
      <c r="AC56" s="390"/>
      <c r="AD56" s="289"/>
      <c r="AE56" s="289" t="s">
        <v>155</v>
      </c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</row>
    <row r="57" spans="1:44" ht="15" thickBot="1" x14ac:dyDescent="0.35">
      <c r="A57" s="289"/>
      <c r="B57" s="298"/>
      <c r="C57" s="309"/>
      <c r="D57" s="299"/>
      <c r="E57" s="299"/>
      <c r="F57" s="607"/>
      <c r="G57" s="608"/>
      <c r="H57" s="292"/>
      <c r="I57" s="292"/>
      <c r="J57" s="299"/>
      <c r="K57" s="309"/>
      <c r="L57" s="609"/>
      <c r="M57" s="289"/>
      <c r="N57" s="300"/>
      <c r="O57" s="425"/>
      <c r="P57" s="323"/>
      <c r="Q57" s="289"/>
      <c r="R57" s="291"/>
      <c r="S57" s="289"/>
      <c r="T57" s="610" t="s">
        <v>135</v>
      </c>
      <c r="U57" s="611">
        <f>IF(U55&gt;0,SUM(U18:U20)/U55,"")</f>
        <v>30</v>
      </c>
      <c r="V57" s="611">
        <f>SUM(V28:V30,V43)/V55</f>
        <v>30</v>
      </c>
      <c r="W57" s="612">
        <f>IF(W55&gt;0,SUM(W21:W22)/W55,"")</f>
        <v>30</v>
      </c>
      <c r="X57" s="613">
        <f>SUM(X31:X33,X43)/X55</f>
        <v>26.666666666666668</v>
      </c>
      <c r="Y57" s="289"/>
      <c r="Z57" s="289"/>
      <c r="AA57" s="614"/>
      <c r="AB57" s="615"/>
      <c r="AC57" s="390"/>
      <c r="AD57" s="289"/>
      <c r="AE57" s="289" t="s">
        <v>156</v>
      </c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</row>
    <row r="58" spans="1:44" ht="15" customHeight="1" thickTop="1" x14ac:dyDescent="0.3">
      <c r="A58" s="289"/>
      <c r="B58" s="298"/>
      <c r="C58" s="616" t="s">
        <v>0</v>
      </c>
      <c r="D58" s="617"/>
      <c r="E58" s="617"/>
      <c r="F58" s="617"/>
      <c r="G58" s="618"/>
      <c r="H58" s="289"/>
      <c r="I58" s="289"/>
      <c r="J58" s="292"/>
      <c r="K58" s="309"/>
      <c r="L58" s="619"/>
      <c r="M58" s="292"/>
      <c r="N58" s="300"/>
      <c r="O58" s="620"/>
      <c r="P58" s="620"/>
      <c r="Q58" s="289"/>
      <c r="R58" s="291"/>
      <c r="S58" s="289"/>
      <c r="T58" s="621" t="s">
        <v>136</v>
      </c>
      <c r="U58" s="384"/>
      <c r="V58" s="622">
        <f ca="1">SUM(V37,V44,V47,V41,V42,V26,V27)/V56</f>
        <v>25</v>
      </c>
      <c r="W58" s="384"/>
      <c r="X58" s="623">
        <f ca="1">SUM(X26,X27,X34,X44,X41,X42)/X56</f>
        <v>12.5</v>
      </c>
      <c r="Y58" s="289"/>
      <c r="Z58" s="289"/>
      <c r="AA58" s="605"/>
      <c r="AB58" s="624"/>
      <c r="AC58" s="390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</row>
    <row r="59" spans="1:44" ht="15" customHeight="1" x14ac:dyDescent="0.3">
      <c r="A59" s="289"/>
      <c r="B59" s="298"/>
      <c r="C59" s="1113" t="str">
        <f ca="1">INDEX(V66:X68,IF(Q53&lt;3,1,IF(Q53&gt;3,3,2)),IF(Q17&lt;3,1,IF(Q17&gt;3,3,2)))&amp;" "&amp;IF(E9&gt;44," (Presbyop)","")</f>
        <v xml:space="preserve">DE </v>
      </c>
      <c r="D59" s="1114"/>
      <c r="E59" s="1114"/>
      <c r="F59" s="1114"/>
      <c r="G59" s="1115"/>
      <c r="H59" s="289"/>
      <c r="I59" s="289"/>
      <c r="J59" s="292"/>
      <c r="K59" s="309"/>
      <c r="L59" s="607"/>
      <c r="M59" s="607"/>
      <c r="N59" s="300"/>
      <c r="O59" s="625"/>
      <c r="P59" s="289"/>
      <c r="Q59" s="289"/>
      <c r="R59" s="291"/>
      <c r="S59" s="333"/>
      <c r="T59" s="626" t="s">
        <v>134</v>
      </c>
      <c r="U59" s="1110">
        <f ca="1">SUM(U57,V57,V58)/COUNT(U57,V57,V58)</f>
        <v>28.333333333333332</v>
      </c>
      <c r="V59" s="1111"/>
      <c r="W59" s="1110">
        <f ca="1">SUM(W57,X57,X58)/COUNT(W57,X57,X58)</f>
        <v>23.055555555555557</v>
      </c>
      <c r="X59" s="1112"/>
      <c r="Y59" s="627">
        <f ca="1">SUM(Y24:Y50)/Y55</f>
        <v>16.666666666666668</v>
      </c>
      <c r="Z59" s="628">
        <f ca="1">SUM(Z24:Z50)/Z55</f>
        <v>20</v>
      </c>
      <c r="AA59" s="629">
        <f ca="1">SUM(AA24:AA50,)/AA55</f>
        <v>17</v>
      </c>
      <c r="AB59" s="630">
        <f ca="1">IF(AND(AB26,AB27,AB34,AB37,AB44,AB48)&gt;0,SUM(AB26,AB27,AB34,AB37,AB44,AB48)/AB55,0)</f>
        <v>0</v>
      </c>
      <c r="AC59" s="390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</row>
    <row r="60" spans="1:44" ht="15" customHeight="1" thickBot="1" x14ac:dyDescent="0.35">
      <c r="A60" s="289"/>
      <c r="B60" s="298"/>
      <c r="C60" s="1116"/>
      <c r="D60" s="1117"/>
      <c r="E60" s="1117"/>
      <c r="F60" s="1117"/>
      <c r="G60" s="1118"/>
      <c r="H60" s="289"/>
      <c r="I60" s="289"/>
      <c r="J60" s="292"/>
      <c r="K60" s="292"/>
      <c r="L60" s="289"/>
      <c r="M60" s="289"/>
      <c r="N60" s="300"/>
      <c r="O60" s="631"/>
      <c r="P60" s="289"/>
      <c r="Q60" s="292"/>
      <c r="R60" s="333"/>
      <c r="S60" s="289"/>
      <c r="T60" s="632"/>
      <c r="U60" s="633"/>
      <c r="V60" s="289"/>
      <c r="W60" s="289"/>
      <c r="X60" s="289"/>
      <c r="Y60" s="289"/>
      <c r="Z60" s="315"/>
      <c r="AA60" s="1085"/>
      <c r="AB60" s="1085"/>
      <c r="AC60" s="333"/>
      <c r="AD60" s="289"/>
      <c r="AE60" s="289"/>
      <c r="AF60" s="289"/>
      <c r="AG60" s="289"/>
      <c r="AH60" s="289"/>
      <c r="AI60" s="289"/>
      <c r="AJ60" s="289"/>
      <c r="AK60" s="289"/>
      <c r="AL60" s="289"/>
      <c r="AM60" s="333"/>
      <c r="AN60" s="333"/>
      <c r="AO60" s="289"/>
      <c r="AP60" s="289"/>
      <c r="AQ60" s="289"/>
      <c r="AR60" s="289"/>
    </row>
    <row r="61" spans="1:44" ht="15" customHeight="1" thickTop="1" x14ac:dyDescent="0.3">
      <c r="A61" s="289"/>
      <c r="B61" s="298"/>
      <c r="C61" s="289"/>
      <c r="D61" s="634"/>
      <c r="E61" s="290"/>
      <c r="F61" s="289"/>
      <c r="G61" s="289"/>
      <c r="H61" s="292"/>
      <c r="I61" s="292"/>
      <c r="J61" s="292"/>
      <c r="K61" s="292"/>
      <c r="L61" s="289"/>
      <c r="M61" s="289"/>
      <c r="N61" s="300"/>
      <c r="O61" s="289"/>
      <c r="P61" s="289"/>
      <c r="Q61" s="289"/>
      <c r="R61" s="291"/>
      <c r="S61" s="289"/>
      <c r="T61" s="289"/>
      <c r="U61" s="289"/>
      <c r="V61" s="289"/>
      <c r="W61" s="289"/>
      <c r="X61" s="292"/>
      <c r="Y61" s="292"/>
      <c r="Z61" s="289"/>
      <c r="AA61" s="289"/>
      <c r="AB61" s="289"/>
      <c r="AC61" s="292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</row>
    <row r="62" spans="1:44" ht="15" customHeight="1" thickBot="1" x14ac:dyDescent="0.35">
      <c r="A62" s="289"/>
      <c r="B62" s="298"/>
      <c r="C62" s="289"/>
      <c r="D62" s="289"/>
      <c r="E62" s="290"/>
      <c r="F62" s="289"/>
      <c r="G62" s="292"/>
      <c r="H62" s="292"/>
      <c r="I62" s="292"/>
      <c r="J62" s="292"/>
      <c r="K62" s="292"/>
      <c r="L62" s="289"/>
      <c r="M62" s="289"/>
      <c r="N62" s="300"/>
      <c r="O62" s="290"/>
      <c r="P62" s="289"/>
      <c r="Q62" s="289"/>
      <c r="R62" s="291"/>
      <c r="S62" s="289"/>
      <c r="T62" s="289"/>
      <c r="U62" s="289"/>
      <c r="V62" s="289"/>
      <c r="W62" s="289"/>
      <c r="X62" s="299"/>
      <c r="Y62" s="299"/>
      <c r="Z62" s="289"/>
      <c r="AA62" s="289"/>
      <c r="AB62" s="289"/>
      <c r="AC62" s="292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</row>
    <row r="63" spans="1:44" ht="15" customHeight="1" thickTop="1" thickBot="1" x14ac:dyDescent="0.35">
      <c r="A63" s="289"/>
      <c r="B63" s="298"/>
      <c r="C63" s="289"/>
      <c r="D63" s="289"/>
      <c r="E63" s="290"/>
      <c r="F63" s="289"/>
      <c r="G63" s="292"/>
      <c r="H63" s="292"/>
      <c r="I63" s="292"/>
      <c r="J63" s="292"/>
      <c r="K63" s="292"/>
      <c r="L63" s="292"/>
      <c r="M63" s="292"/>
      <c r="N63" s="300"/>
      <c r="O63" s="292"/>
      <c r="P63" s="289"/>
      <c r="Q63" s="289"/>
      <c r="R63" s="291"/>
      <c r="S63" s="289"/>
      <c r="T63" s="635" t="s">
        <v>194</v>
      </c>
      <c r="U63" s="636"/>
      <c r="V63" s="636"/>
      <c r="W63" s="636"/>
      <c r="X63" s="637"/>
      <c r="Y63" s="299"/>
      <c r="Z63" s="289"/>
      <c r="AA63" s="638" t="s">
        <v>159</v>
      </c>
      <c r="AB63" s="639"/>
      <c r="AC63" s="1104" t="s">
        <v>195</v>
      </c>
      <c r="AD63" s="640" t="str">
        <f ca="1">IF(SUM(AD64:AD68)=1,IF(AD64=1,AE64,IF(AD65=1,AE65,IF(AD66=1,AE66,IF(AD67=1,AE67,IF(AD68=1,AE68))))),"Hypo-Responsive Accommodation")</f>
        <v>False CI / Pseudo-CI</v>
      </c>
      <c r="AE63" s="641"/>
      <c r="AF63" s="642"/>
      <c r="AG63" s="289"/>
      <c r="AH63" s="643"/>
      <c r="AI63" s="644"/>
      <c r="AJ63" s="644"/>
      <c r="AK63" s="289"/>
      <c r="AL63" s="289"/>
      <c r="AM63" s="289"/>
      <c r="AN63" s="289"/>
      <c r="AO63" s="289"/>
      <c r="AP63" s="289"/>
      <c r="AQ63" s="289"/>
      <c r="AR63" s="289"/>
    </row>
    <row r="64" spans="1:44" ht="15" customHeight="1" thickBot="1" x14ac:dyDescent="0.35">
      <c r="A64" s="289"/>
      <c r="B64" s="552"/>
      <c r="C64" s="553"/>
      <c r="D64" s="553"/>
      <c r="E64" s="645"/>
      <c r="F64" s="553"/>
      <c r="G64" s="553"/>
      <c r="H64" s="553"/>
      <c r="I64" s="553"/>
      <c r="J64" s="553"/>
      <c r="K64" s="553"/>
      <c r="L64" s="553"/>
      <c r="M64" s="553"/>
      <c r="N64" s="555"/>
      <c r="O64" s="292"/>
      <c r="P64" s="289"/>
      <c r="Q64" s="289"/>
      <c r="R64" s="291"/>
      <c r="S64" s="289"/>
      <c r="T64" s="646"/>
      <c r="U64" s="1119" t="s">
        <v>108</v>
      </c>
      <c r="V64" s="1120"/>
      <c r="W64" s="1120"/>
      <c r="X64" s="1121"/>
      <c r="Y64" s="289"/>
      <c r="Z64" s="289"/>
      <c r="AA64" s="647">
        <f ca="1">IF(AND(ISNUMBER(AA48),OR(AND(ISNUMBER(AA41),ISNUMBER(AA42)),AND(ISNUMBER(AA26),ISNUMBER(AA27)),ISNUMBER(AA34),ISNUMBER(AA37),OR(ISNUMBER(AA44),ISNUMBER(AA40)))),1,0)</f>
        <v>1</v>
      </c>
      <c r="AB64" s="648"/>
      <c r="AC64" s="1105"/>
      <c r="AD64" s="649">
        <f ca="1">IF(AA64=1,IF(AND(AA48&gt;=20,AA48&lt;=30,OR(AND(AA41=30,AA42=30),AND(AA26=30,AA27=30)),AA34&gt;=20,AA37&gt;=20,AA44&lt;=20),1,0),2)</f>
        <v>0</v>
      </c>
      <c r="AE64" s="650" t="s">
        <v>112</v>
      </c>
      <c r="AF64" s="651"/>
      <c r="AG64" s="289"/>
      <c r="AH64" s="289"/>
      <c r="AI64" s="652"/>
      <c r="AJ64" s="652"/>
      <c r="AK64" s="289"/>
      <c r="AL64" s="289"/>
      <c r="AM64" s="289"/>
      <c r="AN64" s="289"/>
      <c r="AO64" s="289"/>
      <c r="AP64" s="289"/>
      <c r="AQ64" s="289"/>
      <c r="AR64" s="289"/>
    </row>
    <row r="65" spans="1:44" ht="15" customHeight="1" thickTop="1" thickBot="1" x14ac:dyDescent="0.35">
      <c r="A65" s="289"/>
      <c r="B65" s="289"/>
      <c r="C65" s="289"/>
      <c r="D65" s="289"/>
      <c r="E65" s="290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91"/>
      <c r="S65" s="289"/>
      <c r="T65" s="653"/>
      <c r="U65" s="654" t="s">
        <v>220</v>
      </c>
      <c r="V65" s="655" t="s">
        <v>103</v>
      </c>
      <c r="W65" s="655" t="s">
        <v>104</v>
      </c>
      <c r="X65" s="656" t="s">
        <v>105</v>
      </c>
      <c r="Y65" s="289"/>
      <c r="Z65" s="289"/>
      <c r="AA65" s="657" t="s">
        <v>241</v>
      </c>
      <c r="AB65" s="658"/>
      <c r="AC65" s="1105"/>
      <c r="AD65" s="659">
        <f ca="1">IF(AA64=1,IF(AND(AA48&gt;=20,AA48&lt;=30,OR(AND(AA41&lt;20,AA42&lt;20),AND(AA26&lt;30,AA27&lt;30)),AA34&gt;=20,AA37&gt;=20,AA44=30),1,0),2)</f>
        <v>1</v>
      </c>
      <c r="AE65" s="660" t="s">
        <v>236</v>
      </c>
      <c r="AF65" s="661"/>
      <c r="AG65" s="289"/>
      <c r="AH65" s="289"/>
      <c r="AI65" s="290"/>
      <c r="AJ65" s="290"/>
      <c r="AK65" s="289"/>
      <c r="AL65" s="289"/>
      <c r="AM65" s="289"/>
      <c r="AN65" s="289"/>
      <c r="AO65" s="289"/>
      <c r="AP65" s="289"/>
      <c r="AQ65" s="289"/>
      <c r="AR65" s="289"/>
    </row>
    <row r="66" spans="1:44" ht="15" customHeight="1" x14ac:dyDescent="0.3">
      <c r="A66" s="289"/>
      <c r="B66" s="289"/>
      <c r="C66" s="289"/>
      <c r="D66" s="289"/>
      <c r="E66" s="290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91"/>
      <c r="S66" s="289"/>
      <c r="T66" s="662" t="s">
        <v>69</v>
      </c>
      <c r="U66" s="663" t="s">
        <v>106</v>
      </c>
      <c r="V66" s="664" t="str">
        <f ca="1">IF(AND(V57&lt;30,V58&lt;30),IF(AND(AD69=1,AA45=AA44,AA46=AA44),"CI w. possible 2nd "&amp;AE69,"CI"),AA72)</f>
        <v>False CI / Pseudo-CI</v>
      </c>
      <c r="W66" s="664" t="str">
        <f ca="1">IF(AND(V57&lt;30,V58&lt;30),IF(AND(AD69=1,AA45=AA44,AA46=AA44),"CI w. possible 2nd "&amp;AE69,"CI"),AA72)</f>
        <v>False CI / Pseudo-CI</v>
      </c>
      <c r="X66" s="665" t="str">
        <f ca="1">IF(OR(W57&lt;30),"DI",AA72)</f>
        <v>False CI / Pseudo-CI</v>
      </c>
      <c r="Y66" s="289"/>
      <c r="Z66" s="289"/>
      <c r="AA66" s="657" t="s">
        <v>242</v>
      </c>
      <c r="AB66" s="658"/>
      <c r="AC66" s="1105"/>
      <c r="AD66" s="659">
        <f ca="1">IF(AA64=1,IF(AND(AA48&gt;=20,AA48&lt;=30,OR(AND(AA41&lt;=20,AA42&lt;=20),AND(AA26&lt;=20,AA27&lt;=20)),AA34&lt;=20,AA37&lt;=40,AA44&lt;=20),1,0),2)</f>
        <v>0</v>
      </c>
      <c r="AE66" s="666" t="s">
        <v>113</v>
      </c>
      <c r="AF66" s="661"/>
      <c r="AG66" s="289"/>
      <c r="AH66" s="289"/>
      <c r="AI66" s="667"/>
      <c r="AJ66" s="290"/>
      <c r="AK66" s="289"/>
      <c r="AL66" s="289"/>
      <c r="AM66" s="289"/>
      <c r="AN66" s="289"/>
      <c r="AO66" s="289"/>
      <c r="AP66" s="289"/>
      <c r="AQ66" s="289"/>
      <c r="AR66" s="289"/>
    </row>
    <row r="67" spans="1:44" ht="15" customHeight="1" x14ac:dyDescent="0.3">
      <c r="A67" s="289"/>
      <c r="B67" s="643" t="s">
        <v>237</v>
      </c>
      <c r="C67" s="643" t="s">
        <v>238</v>
      </c>
      <c r="D67" s="668" t="s">
        <v>239</v>
      </c>
      <c r="E67" s="290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91"/>
      <c r="S67" s="289"/>
      <c r="T67" s="669">
        <f>IF(Q53&lt;3,1,IF(Q53&gt;3,3,2))</f>
        <v>3</v>
      </c>
      <c r="U67" s="663" t="s">
        <v>14</v>
      </c>
      <c r="V67" s="670" t="str">
        <f ca="1">IF(AND(V57&lt;30,V58&lt;30),"Basic exo",AA72)</f>
        <v>False CI / Pseudo-CI</v>
      </c>
      <c r="W67" s="308" t="str">
        <f ca="1">IF(OR(AND(U57&lt;30,V57&lt;30,V58&lt;30),AND(W57&lt;30,X57&lt;30,X58&lt;30)),"Fusional Vergence Dysfunctionl",AA72)</f>
        <v>False CI / Pseudo-CI</v>
      </c>
      <c r="X67" s="671" t="str">
        <f ca="1">IF(AND(X57&lt;30,X58&lt;30),"Basic Eso",AA72)</f>
        <v>Basic Eso</v>
      </c>
      <c r="Y67" s="643"/>
      <c r="Z67" s="289"/>
      <c r="AA67" s="672" t="s">
        <v>157</v>
      </c>
      <c r="AB67" s="658"/>
      <c r="AC67" s="1105"/>
      <c r="AD67" s="659">
        <f ca="1">IF(AA$64=1,IF(AND(AA$48&lt;=10,OR(AND(AA$41&lt;=20,AA$42&lt;=20),AND(AA$26&lt;=20,AA$27&lt;=20)),AA$34&lt;=20,AA$37&lt;=40,AA$44&lt;=20),1,0),2)</f>
        <v>0</v>
      </c>
      <c r="AE67" s="666" t="s">
        <v>114</v>
      </c>
      <c r="AF67" s="661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</row>
    <row r="68" spans="1:44" ht="15" thickBot="1" x14ac:dyDescent="0.35">
      <c r="A68" s="289"/>
      <c r="B68" s="643" t="s">
        <v>240</v>
      </c>
      <c r="C68" s="643" t="s">
        <v>238</v>
      </c>
      <c r="D68" s="643" t="s">
        <v>133</v>
      </c>
      <c r="E68" s="290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91"/>
      <c r="S68" s="333"/>
      <c r="T68" s="653"/>
      <c r="U68" s="663" t="s">
        <v>107</v>
      </c>
      <c r="V68" s="670" t="str">
        <f>"DE"</f>
        <v>DE</v>
      </c>
      <c r="W68" s="311" t="str">
        <f ca="1">IF(AND(X57&lt;30,X58&lt;30),"CE",AA72)</f>
        <v>CE</v>
      </c>
      <c r="X68" s="673" t="str">
        <f ca="1">IF(AND(W57&lt;30,X57&lt;30,X58&lt;30),"CE",AA72)</f>
        <v>False CI / Pseudo-CI</v>
      </c>
      <c r="Y68" s="289"/>
      <c r="Z68" s="289"/>
      <c r="AA68" s="657" t="s">
        <v>243</v>
      </c>
      <c r="AB68" s="658"/>
      <c r="AC68" s="1106"/>
      <c r="AD68" s="674">
        <f ca="1">IF(AA$64=1,IF(AND(AA$48&lt;=10,OR(AND(AA$41&lt;=10,AA$42&lt;=10),AND(AA$26&lt;=10,AA$27&lt;=10)),AA$34&lt;=10,AA$37&lt;=20,AA$44&lt;=10),1,0),2)</f>
        <v>0</v>
      </c>
      <c r="AE68" s="675" t="s">
        <v>115</v>
      </c>
      <c r="AF68" s="676"/>
      <c r="AG68" s="289"/>
      <c r="AH68" s="289"/>
      <c r="AI68" s="677"/>
      <c r="AJ68" s="678"/>
      <c r="AK68" s="323"/>
      <c r="AL68" s="333"/>
      <c r="AM68" s="289"/>
      <c r="AN68" s="289"/>
      <c r="AO68" s="289"/>
      <c r="AP68" s="289"/>
      <c r="AQ68" s="289"/>
      <c r="AR68" s="289"/>
    </row>
    <row r="69" spans="1:44" ht="15" customHeight="1" thickTop="1" thickBot="1" x14ac:dyDescent="0.35">
      <c r="A69" s="289"/>
      <c r="B69" s="289"/>
      <c r="C69" s="289"/>
      <c r="D69" s="289"/>
      <c r="E69" s="290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91"/>
      <c r="S69" s="333"/>
      <c r="T69" s="679"/>
      <c r="U69" s="680"/>
      <c r="V69" s="681" t="s">
        <v>189</v>
      </c>
      <c r="W69" s="682">
        <f>IF(Q17&lt;3,1,IF(Q17&gt;3,3,2))</f>
        <v>1</v>
      </c>
      <c r="X69" s="683"/>
      <c r="Y69" s="289"/>
      <c r="Z69" s="289"/>
      <c r="AA69" s="672"/>
      <c r="AB69" s="658"/>
      <c r="AC69" s="1107" t="s">
        <v>196</v>
      </c>
      <c r="AD69" s="684">
        <f ca="1">IF(AA$64=1,IF(AND(AA$48&gt;=30,OR(AND(AA$41&lt;=20,AA$42&lt;=20),AND(AA$26&lt;=20,AA27&lt;=20)),AA$37&lt;=30,AND(AA$44&lt;=30,AA44&gt;=20)),1,0),2)</f>
        <v>0</v>
      </c>
      <c r="AE69" s="685" t="s">
        <v>116</v>
      </c>
      <c r="AF69" s="686"/>
      <c r="AG69" s="289"/>
      <c r="AH69" s="289"/>
      <c r="AI69" s="677"/>
      <c r="AJ69" s="687"/>
      <c r="AK69" s="333"/>
      <c r="AL69" s="333"/>
      <c r="AM69" s="289"/>
      <c r="AN69" s="289"/>
      <c r="AO69" s="289"/>
      <c r="AP69" s="289"/>
      <c r="AQ69" s="289"/>
      <c r="AR69" s="289"/>
    </row>
    <row r="70" spans="1:44" ht="15.6" customHeight="1" thickTop="1" thickBot="1" x14ac:dyDescent="0.35">
      <c r="A70" s="289"/>
      <c r="B70" s="688" t="s">
        <v>175</v>
      </c>
      <c r="C70" s="689"/>
      <c r="D70" s="689"/>
      <c r="E70" s="689"/>
      <c r="F70" s="689"/>
      <c r="G70" s="689"/>
      <c r="H70" s="689"/>
      <c r="I70" s="689"/>
      <c r="J70" s="689"/>
      <c r="K70" s="689"/>
      <c r="L70" s="689"/>
      <c r="M70" s="689"/>
      <c r="N70" s="289"/>
      <c r="O70" s="289"/>
      <c r="P70" s="289"/>
      <c r="Q70" s="289"/>
      <c r="R70" s="291"/>
      <c r="S70" s="333"/>
      <c r="T70" s="289"/>
      <c r="U70" s="289"/>
      <c r="V70" s="289"/>
      <c r="W70" s="289"/>
      <c r="X70" s="289"/>
      <c r="Y70" s="289"/>
      <c r="Z70" s="289"/>
      <c r="AA70" s="690"/>
      <c r="AB70" s="691"/>
      <c r="AC70" s="1108"/>
      <c r="AD70" s="659">
        <f ca="1">IF(AA$64=1,IF(AND(AA$48&gt;30,OR(AND(AA41&lt;=20,AA42&lt;=20),AND(AA$26&lt;=20,AA27&lt;=20)),AA$37&lt;=10,AA$44&lt;20),1,0),2)</f>
        <v>0</v>
      </c>
      <c r="AE70" s="666" t="s">
        <v>117</v>
      </c>
      <c r="AF70" s="661"/>
      <c r="AG70" s="289"/>
      <c r="AH70" s="289"/>
      <c r="AI70" s="677"/>
      <c r="AJ70" s="687"/>
      <c r="AK70" s="465"/>
      <c r="AL70" s="333"/>
      <c r="AM70" s="289"/>
      <c r="AN70" s="289"/>
      <c r="AO70" s="289"/>
      <c r="AP70" s="289"/>
      <c r="AQ70" s="289"/>
      <c r="AR70" s="289"/>
    </row>
    <row r="71" spans="1:44" ht="15.6" thickTop="1" thickBot="1" x14ac:dyDescent="0.35">
      <c r="A71" s="289"/>
      <c r="B71" s="689" t="s">
        <v>176</v>
      </c>
      <c r="C71" s="689"/>
      <c r="D71" s="689" t="s">
        <v>203</v>
      </c>
      <c r="E71" s="689"/>
      <c r="F71" s="689"/>
      <c r="G71" s="689"/>
      <c r="H71" s="689"/>
      <c r="I71" s="689"/>
      <c r="J71" s="689"/>
      <c r="K71" s="689"/>
      <c r="L71" s="689"/>
      <c r="M71" s="689"/>
      <c r="N71" s="289"/>
      <c r="O71" s="289"/>
      <c r="P71" s="289"/>
      <c r="Q71" s="289"/>
      <c r="R71" s="291"/>
      <c r="S71" s="333"/>
      <c r="T71" s="289"/>
      <c r="U71" s="289"/>
      <c r="V71" s="289"/>
      <c r="W71" s="289"/>
      <c r="X71" s="289"/>
      <c r="Y71" s="289"/>
      <c r="Z71" s="289"/>
      <c r="AA71" s="692" t="s">
        <v>158</v>
      </c>
      <c r="AB71" s="693"/>
      <c r="AC71" s="1108"/>
      <c r="AD71" s="674">
        <f ca="1">IF(AA$64=1,IF(AND(AA$48&gt;30,OR(AND(AA$41&lt;=0,AA$42&lt;=0),AND(AA$26&lt;=0,AA27&lt;=0)),AA$37&lt;=0,AA$44&lt;=10),1,0),2)</f>
        <v>0</v>
      </c>
      <c r="AE71" s="675" t="s">
        <v>118</v>
      </c>
      <c r="AF71" s="676"/>
      <c r="AG71" s="289"/>
      <c r="AH71" s="289"/>
      <c r="AI71" s="677"/>
      <c r="AJ71" s="687"/>
      <c r="AK71" s="333"/>
      <c r="AL71" s="333"/>
      <c r="AM71" s="289"/>
      <c r="AN71" s="289"/>
      <c r="AO71" s="289"/>
      <c r="AP71" s="289"/>
      <c r="AQ71" s="289"/>
      <c r="AR71" s="289"/>
    </row>
    <row r="72" spans="1:44" ht="15" thickBot="1" x14ac:dyDescent="0.35">
      <c r="A72" s="289"/>
      <c r="B72" s="689" t="s">
        <v>177</v>
      </c>
      <c r="C72" s="689"/>
      <c r="D72" s="689" t="s">
        <v>201</v>
      </c>
      <c r="E72" s="689"/>
      <c r="F72" s="689"/>
      <c r="G72" s="689"/>
      <c r="H72" s="689"/>
      <c r="I72" s="689"/>
      <c r="J72" s="689"/>
      <c r="K72" s="689"/>
      <c r="L72" s="689"/>
      <c r="M72" s="689"/>
      <c r="N72" s="289"/>
      <c r="O72" s="289"/>
      <c r="P72" s="289"/>
      <c r="Q72" s="289"/>
      <c r="R72" s="291"/>
      <c r="S72" s="333"/>
      <c r="T72" s="289"/>
      <c r="U72" s="289"/>
      <c r="V72" s="289"/>
      <c r="W72" s="289"/>
      <c r="X72" s="289"/>
      <c r="Y72" s="289"/>
      <c r="Z72" s="289"/>
      <c r="AA72" s="694" t="str">
        <f ca="1">IF(AND(Y59&gt;=30,Z59&gt;=30),"Normal",IF(AND(Y59&lt;Z59,OR(Y59&lt;30,Z59&lt;30)),AD63,AD72))</f>
        <v>False CI / Pseudo-CI</v>
      </c>
      <c r="AB72" s="695"/>
      <c r="AC72" s="1109"/>
      <c r="AD72" s="696" t="str">
        <f ca="1">IF(SUM(AD69:AD71)=1,IF(AD69=1,AE69,IF(AD70=1,AE70,IF(AD71=1,AE71))),"Hyper-Responsive Accommodation")</f>
        <v>Hyper-Responsive Accommodation</v>
      </c>
      <c r="AE72" s="697"/>
      <c r="AF72" s="698"/>
      <c r="AG72" s="289"/>
      <c r="AH72" s="289"/>
      <c r="AI72" s="677"/>
      <c r="AJ72" s="687"/>
      <c r="AK72" s="333"/>
      <c r="AL72" s="333"/>
      <c r="AM72" s="289"/>
      <c r="AN72" s="289"/>
      <c r="AO72" s="289"/>
      <c r="AP72" s="289"/>
      <c r="AQ72" s="289"/>
      <c r="AR72" s="289"/>
    </row>
    <row r="73" spans="1:44" ht="15" thickTop="1" x14ac:dyDescent="0.3">
      <c r="A73" s="289"/>
      <c r="B73" s="689"/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289"/>
      <c r="O73" s="289"/>
      <c r="P73" s="289"/>
      <c r="Q73" s="289"/>
      <c r="R73" s="291"/>
      <c r="S73" s="333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677"/>
      <c r="AJ73" s="687"/>
      <c r="AK73" s="333"/>
      <c r="AL73" s="333"/>
      <c r="AM73" s="289"/>
      <c r="AN73" s="289"/>
      <c r="AO73" s="289"/>
      <c r="AP73" s="289"/>
      <c r="AQ73" s="289"/>
      <c r="AR73" s="289"/>
    </row>
    <row r="74" spans="1:44" x14ac:dyDescent="0.3">
      <c r="A74" s="289"/>
      <c r="B74" s="688" t="s">
        <v>133</v>
      </c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289"/>
      <c r="O74" s="454"/>
      <c r="P74" s="289"/>
      <c r="Q74" s="289"/>
      <c r="R74" s="291"/>
      <c r="S74" s="289"/>
      <c r="T74" s="289"/>
      <c r="U74" s="643"/>
      <c r="V74" s="643"/>
      <c r="W74" s="643"/>
      <c r="X74" s="643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677"/>
      <c r="AJ74" s="687"/>
      <c r="AK74" s="333"/>
      <c r="AL74" s="333"/>
      <c r="AM74" s="289"/>
      <c r="AN74" s="289"/>
      <c r="AO74" s="289"/>
      <c r="AP74" s="289"/>
      <c r="AQ74" s="289"/>
      <c r="AR74" s="289"/>
    </row>
    <row r="75" spans="1:44" x14ac:dyDescent="0.3">
      <c r="A75" s="289"/>
      <c r="B75" s="689" t="s">
        <v>178</v>
      </c>
      <c r="C75" s="689"/>
      <c r="D75" s="689" t="s">
        <v>179</v>
      </c>
      <c r="E75" s="689"/>
      <c r="F75" s="689"/>
      <c r="G75" s="689"/>
      <c r="H75" s="689"/>
      <c r="I75" s="689"/>
      <c r="J75" s="689"/>
      <c r="K75" s="689"/>
      <c r="L75" s="689"/>
      <c r="M75" s="689"/>
      <c r="N75" s="289"/>
      <c r="O75" s="699"/>
      <c r="P75" s="289"/>
      <c r="Q75" s="289"/>
      <c r="R75" s="291"/>
      <c r="S75" s="289"/>
      <c r="T75" s="643"/>
      <c r="U75" s="643"/>
      <c r="V75" s="643"/>
      <c r="W75" s="643"/>
      <c r="X75" s="643"/>
      <c r="Y75" s="289"/>
      <c r="Z75" s="289"/>
      <c r="AA75" s="700"/>
      <c r="AB75" s="289"/>
      <c r="AC75" s="289"/>
      <c r="AD75" s="289"/>
      <c r="AE75" s="289"/>
      <c r="AF75" s="289"/>
      <c r="AG75" s="289"/>
      <c r="AH75" s="289"/>
      <c r="AI75" s="677"/>
      <c r="AJ75" s="687"/>
      <c r="AK75" s="333"/>
      <c r="AL75" s="333"/>
      <c r="AM75" s="289"/>
      <c r="AN75" s="289"/>
      <c r="AO75" s="289"/>
      <c r="AP75" s="289"/>
      <c r="AQ75" s="289"/>
      <c r="AR75" s="289"/>
    </row>
    <row r="76" spans="1:44" x14ac:dyDescent="0.3">
      <c r="A76" s="289"/>
      <c r="B76" s="689" t="s">
        <v>180</v>
      </c>
      <c r="C76" s="689"/>
      <c r="D76" s="689" t="s">
        <v>181</v>
      </c>
      <c r="E76" s="689"/>
      <c r="F76" s="689"/>
      <c r="G76" s="689"/>
      <c r="H76" s="689"/>
      <c r="I76" s="689"/>
      <c r="J76" s="689"/>
      <c r="K76" s="689"/>
      <c r="L76" s="689"/>
      <c r="M76" s="689"/>
      <c r="N76" s="291"/>
      <c r="O76" s="701"/>
      <c r="P76" s="291"/>
      <c r="Q76" s="291"/>
      <c r="R76" s="291"/>
      <c r="S76" s="289"/>
      <c r="T76" s="289"/>
      <c r="U76" s="643"/>
      <c r="V76" s="289"/>
      <c r="W76" s="643"/>
      <c r="X76" s="643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677"/>
      <c r="AJ76" s="687"/>
      <c r="AK76" s="333"/>
      <c r="AL76" s="333"/>
      <c r="AM76" s="289"/>
      <c r="AN76" s="289"/>
      <c r="AO76" s="289"/>
      <c r="AP76" s="289"/>
      <c r="AQ76" s="289"/>
      <c r="AR76" s="289"/>
    </row>
    <row r="77" spans="1:44" x14ac:dyDescent="0.3">
      <c r="A77" s="289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702"/>
      <c r="N77" s="289"/>
      <c r="O77" s="699"/>
      <c r="P77" s="289"/>
      <c r="Q77" s="289"/>
      <c r="R77" s="291"/>
      <c r="S77" s="289"/>
      <c r="T77" s="292"/>
      <c r="U77" s="289"/>
      <c r="V77" s="292"/>
      <c r="W77" s="703"/>
      <c r="X77" s="292"/>
      <c r="Y77" s="289"/>
      <c r="Z77" s="289"/>
      <c r="AA77" s="700"/>
      <c r="AB77" s="289"/>
      <c r="AC77" s="289"/>
      <c r="AD77" s="289"/>
      <c r="AE77" s="289"/>
      <c r="AF77" s="289"/>
      <c r="AG77" s="289"/>
      <c r="AH77" s="289"/>
      <c r="AI77" s="677"/>
      <c r="AJ77" s="704"/>
      <c r="AK77" s="678"/>
      <c r="AL77" s="333"/>
      <c r="AM77" s="289"/>
      <c r="AN77" s="289"/>
      <c r="AO77" s="289"/>
      <c r="AP77" s="289"/>
      <c r="AQ77" s="289"/>
      <c r="AR77" s="289"/>
    </row>
    <row r="78" spans="1:44" x14ac:dyDescent="0.3">
      <c r="A78" s="289"/>
      <c r="B78" s="688" t="s">
        <v>182</v>
      </c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702"/>
      <c r="N78" s="289"/>
      <c r="O78" s="699"/>
      <c r="P78" s="289"/>
      <c r="Q78" s="289"/>
      <c r="R78" s="291"/>
      <c r="S78" s="289"/>
      <c r="T78" s="292"/>
      <c r="U78" s="299"/>
      <c r="V78" s="705"/>
      <c r="W78" s="292"/>
      <c r="X78" s="292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</row>
    <row r="79" spans="1:44" x14ac:dyDescent="0.3">
      <c r="A79" s="289"/>
      <c r="B79" s="689" t="s">
        <v>183</v>
      </c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289"/>
      <c r="O79" s="706"/>
      <c r="P79" s="289"/>
      <c r="Q79" s="289"/>
      <c r="R79" s="291"/>
      <c r="S79" s="289"/>
      <c r="T79" s="292"/>
      <c r="U79" s="705"/>
      <c r="V79" s="707"/>
      <c r="W79" s="608"/>
      <c r="X79" s="292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</row>
    <row r="80" spans="1:44" x14ac:dyDescent="0.3">
      <c r="A80" s="289"/>
      <c r="B80" s="689" t="s">
        <v>184</v>
      </c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289"/>
      <c r="O80" s="289"/>
      <c r="P80" s="289"/>
      <c r="Q80" s="289"/>
      <c r="R80" s="291"/>
      <c r="S80" s="289"/>
      <c r="T80" s="292"/>
      <c r="U80" s="292"/>
      <c r="V80" s="292"/>
      <c r="W80" s="292"/>
      <c r="X80" s="292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89"/>
      <c r="AQ80" s="289"/>
      <c r="AR80" s="289"/>
    </row>
    <row r="81" spans="1:44" x14ac:dyDescent="0.3">
      <c r="A81" s="289"/>
      <c r="B81" s="689" t="s">
        <v>185</v>
      </c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289"/>
      <c r="O81" s="289"/>
      <c r="P81" s="289"/>
      <c r="Q81" s="289"/>
      <c r="R81" s="291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92"/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  <c r="AP81" s="289"/>
      <c r="AQ81" s="289"/>
      <c r="AR81" s="289"/>
    </row>
    <row r="82" spans="1:44" x14ac:dyDescent="0.3">
      <c r="A82" s="289"/>
      <c r="B82" s="689" t="s">
        <v>186</v>
      </c>
      <c r="C82" s="689"/>
      <c r="D82" s="689"/>
      <c r="E82" s="689"/>
      <c r="F82" s="689"/>
      <c r="G82" s="689"/>
      <c r="H82" s="689"/>
      <c r="I82" s="689"/>
      <c r="J82" s="689"/>
      <c r="K82" s="689"/>
      <c r="L82" s="689"/>
      <c r="M82" s="689"/>
      <c r="N82" s="289"/>
      <c r="O82" s="289"/>
      <c r="P82" s="289"/>
      <c r="Q82" s="289"/>
      <c r="R82" s="291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333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289"/>
      <c r="AQ82" s="289"/>
      <c r="AR82" s="289"/>
    </row>
    <row r="83" spans="1:44" x14ac:dyDescent="0.3">
      <c r="A83" s="289"/>
      <c r="B83" s="689" t="s">
        <v>187</v>
      </c>
      <c r="C83" s="689"/>
      <c r="D83" s="689"/>
      <c r="E83" s="689"/>
      <c r="F83" s="689"/>
      <c r="G83" s="689"/>
      <c r="H83" s="689"/>
      <c r="I83" s="689"/>
      <c r="J83" s="689"/>
      <c r="K83" s="689"/>
      <c r="L83" s="689"/>
      <c r="M83" s="689"/>
      <c r="N83" s="289"/>
      <c r="O83" s="643"/>
      <c r="P83" s="289"/>
      <c r="Q83" s="289"/>
      <c r="R83" s="291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  <c r="AP83" s="289"/>
      <c r="AQ83" s="289"/>
      <c r="AR83" s="289"/>
    </row>
    <row r="84" spans="1:44" x14ac:dyDescent="0.3">
      <c r="A84" s="289"/>
      <c r="B84" s="289"/>
      <c r="C84" s="289"/>
      <c r="D84" s="289"/>
      <c r="E84" s="290"/>
      <c r="F84" s="289"/>
      <c r="G84" s="289"/>
      <c r="H84" s="289"/>
      <c r="I84" s="289"/>
      <c r="J84" s="289"/>
      <c r="K84" s="289"/>
      <c r="L84" s="289"/>
      <c r="M84" s="289"/>
      <c r="N84" s="289"/>
      <c r="O84" s="643"/>
      <c r="P84" s="289"/>
      <c r="Q84" s="289"/>
      <c r="R84" s="291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  <c r="AP84" s="289"/>
      <c r="AQ84" s="289"/>
      <c r="AR84" s="289"/>
    </row>
    <row r="85" spans="1:44" x14ac:dyDescent="0.3">
      <c r="A85" s="289"/>
      <c r="B85" s="289"/>
      <c r="C85" s="289"/>
      <c r="D85" s="289"/>
      <c r="E85" s="290"/>
      <c r="F85" s="289"/>
      <c r="G85" s="289"/>
      <c r="H85" s="289"/>
      <c r="I85" s="289"/>
      <c r="J85" s="289"/>
      <c r="K85" s="289"/>
      <c r="L85" s="289"/>
      <c r="M85" s="289"/>
      <c r="N85" s="289"/>
      <c r="O85" s="643"/>
      <c r="P85" s="289"/>
      <c r="Q85" s="289"/>
      <c r="R85" s="291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</row>
    <row r="86" spans="1:44" x14ac:dyDescent="0.3">
      <c r="A86" s="289"/>
      <c r="B86" s="708" t="s">
        <v>119</v>
      </c>
      <c r="C86" s="709"/>
      <c r="D86" s="709"/>
      <c r="E86" s="710"/>
      <c r="F86" s="709"/>
      <c r="G86" s="709"/>
      <c r="H86" s="289"/>
      <c r="I86" s="289"/>
      <c r="J86" s="289"/>
      <c r="K86" s="289"/>
      <c r="L86" s="289"/>
      <c r="M86" s="289"/>
      <c r="N86" s="289"/>
      <c r="O86" s="643"/>
      <c r="P86" s="289"/>
      <c r="Q86" s="289"/>
      <c r="R86" s="291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</row>
    <row r="87" spans="1:44" x14ac:dyDescent="0.3">
      <c r="A87" s="289"/>
      <c r="B87" s="709" t="s">
        <v>120</v>
      </c>
      <c r="C87" s="709"/>
      <c r="D87" s="709"/>
      <c r="E87" s="710"/>
      <c r="F87" s="709"/>
      <c r="G87" s="70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91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</row>
    <row r="88" spans="1:44" x14ac:dyDescent="0.3">
      <c r="A88" s="289"/>
      <c r="B88" s="711" t="s">
        <v>215</v>
      </c>
      <c r="C88" s="289"/>
      <c r="D88" s="289"/>
      <c r="E88" s="290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91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</row>
    <row r="89" spans="1:44" x14ac:dyDescent="0.3">
      <c r="A89" s="289"/>
      <c r="B89" s="333" t="s">
        <v>214</v>
      </c>
      <c r="C89" s="289"/>
      <c r="D89" s="289"/>
      <c r="E89" s="290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91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</row>
    <row r="90" spans="1:44" x14ac:dyDescent="0.3">
      <c r="A90" s="289"/>
      <c r="B90" s="289"/>
      <c r="C90" s="289"/>
      <c r="D90" s="289"/>
      <c r="E90" s="290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91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</row>
    <row r="91" spans="1:44" x14ac:dyDescent="0.3">
      <c r="A91" s="289"/>
      <c r="B91" s="289"/>
      <c r="C91" s="289"/>
      <c r="D91" s="289"/>
      <c r="E91" s="290"/>
      <c r="F91" s="289"/>
      <c r="G91" s="289"/>
      <c r="H91" s="289"/>
      <c r="I91" s="289"/>
      <c r="J91" s="289"/>
      <c r="K91" s="289"/>
      <c r="L91" s="289"/>
      <c r="M91" s="289"/>
      <c r="N91" s="289"/>
      <c r="O91" s="643"/>
      <c r="P91" s="289"/>
      <c r="Q91" s="643"/>
      <c r="R91" s="291"/>
      <c r="S91" s="333"/>
      <c r="T91" s="712"/>
      <c r="U91" s="713"/>
      <c r="V91" s="713"/>
      <c r="W91" s="713"/>
      <c r="X91" s="714"/>
      <c r="Y91" s="714"/>
      <c r="Z91" s="713"/>
      <c r="AA91" s="333"/>
      <c r="AB91" s="333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</row>
    <row r="92" spans="1:44" x14ac:dyDescent="0.3">
      <c r="B92" s="270"/>
      <c r="O92" s="270"/>
      <c r="Q92" s="270"/>
      <c r="S92" s="267"/>
      <c r="T92" s="268"/>
      <c r="U92" s="267"/>
      <c r="V92" s="267"/>
      <c r="W92" s="267"/>
      <c r="X92" s="267"/>
      <c r="Y92" s="267"/>
      <c r="Z92" s="267"/>
      <c r="AA92" s="267"/>
      <c r="AB92" s="267"/>
    </row>
    <row r="93" spans="1:44" x14ac:dyDescent="0.3">
      <c r="O93" s="270"/>
      <c r="P93" s="282"/>
      <c r="S93" s="267"/>
      <c r="T93" s="268"/>
      <c r="U93" s="267"/>
      <c r="V93" s="267"/>
      <c r="W93" s="267"/>
      <c r="X93" s="267"/>
      <c r="Y93" s="267"/>
      <c r="Z93" s="267"/>
      <c r="AA93" s="267"/>
      <c r="AB93" s="267"/>
    </row>
    <row r="94" spans="1:44" x14ac:dyDescent="0.3">
      <c r="O94" s="270"/>
      <c r="P94" s="282"/>
      <c r="S94" s="267"/>
      <c r="T94" s="274"/>
      <c r="U94" s="267"/>
      <c r="V94" s="267"/>
      <c r="W94" s="267"/>
      <c r="X94" s="267"/>
      <c r="Y94" s="267"/>
      <c r="Z94" s="267"/>
      <c r="AA94" s="267"/>
      <c r="AB94" s="267"/>
    </row>
    <row r="95" spans="1:44" x14ac:dyDescent="0.3">
      <c r="S95" s="267"/>
      <c r="T95" s="272"/>
      <c r="U95" s="272"/>
      <c r="V95" s="272"/>
      <c r="W95" s="272"/>
      <c r="X95" s="275"/>
      <c r="Y95" s="272"/>
      <c r="Z95" s="272"/>
      <c r="AA95" s="267"/>
      <c r="AB95" s="267"/>
    </row>
    <row r="96" spans="1:44" x14ac:dyDescent="0.3">
      <c r="O96" s="270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</row>
    <row r="97" spans="2:28" x14ac:dyDescent="0.3">
      <c r="O97" s="270"/>
      <c r="S97" s="267"/>
      <c r="T97" s="267"/>
      <c r="U97" s="276"/>
      <c r="V97" s="276"/>
      <c r="W97" s="276"/>
      <c r="X97" s="276"/>
      <c r="Y97" s="267"/>
      <c r="Z97" s="267"/>
      <c r="AA97" s="267"/>
      <c r="AB97" s="267"/>
    </row>
    <row r="98" spans="2:28" x14ac:dyDescent="0.3">
      <c r="O98" s="270"/>
      <c r="S98" s="267"/>
      <c r="T98" s="267"/>
      <c r="U98" s="266"/>
      <c r="V98" s="277"/>
      <c r="W98" s="277"/>
      <c r="X98" s="278"/>
      <c r="Y98" s="267"/>
      <c r="Z98" s="267"/>
      <c r="AA98" s="267"/>
      <c r="AB98" s="267"/>
    </row>
    <row r="99" spans="2:28" x14ac:dyDescent="0.3">
      <c r="O99" s="270"/>
      <c r="Q99" s="270"/>
      <c r="S99" s="267"/>
      <c r="T99" s="266"/>
      <c r="U99" s="267"/>
      <c r="V99" s="277"/>
      <c r="W99" s="266"/>
      <c r="X99" s="266"/>
      <c r="Y99" s="267"/>
      <c r="Z99" s="267"/>
      <c r="AA99" s="267"/>
      <c r="AB99" s="267"/>
    </row>
    <row r="100" spans="2:28" x14ac:dyDescent="0.3">
      <c r="O100" s="270"/>
      <c r="S100" s="267"/>
      <c r="T100" s="273"/>
      <c r="U100" s="267"/>
      <c r="V100" s="266"/>
      <c r="W100" s="266"/>
      <c r="X100" s="279"/>
      <c r="Y100" s="267"/>
      <c r="Z100" s="271"/>
      <c r="AA100" s="267"/>
      <c r="AB100" s="267"/>
    </row>
    <row r="101" spans="2:28" x14ac:dyDescent="0.3">
      <c r="O101" s="270"/>
      <c r="P101" s="282"/>
      <c r="Q101" s="270"/>
      <c r="R101" s="283"/>
      <c r="S101" s="267"/>
      <c r="T101" s="267"/>
      <c r="U101" s="267"/>
      <c r="V101" s="266"/>
      <c r="W101" s="266"/>
      <c r="X101" s="266"/>
      <c r="Y101" s="267"/>
      <c r="Z101" s="267"/>
      <c r="AA101" s="267"/>
      <c r="AB101" s="267"/>
    </row>
    <row r="102" spans="2:28" x14ac:dyDescent="0.3">
      <c r="O102" s="270"/>
      <c r="P102" s="282"/>
      <c r="Q102" s="270"/>
      <c r="R102" s="283"/>
      <c r="S102" s="267"/>
      <c r="T102" s="267"/>
      <c r="U102" s="267"/>
      <c r="V102" s="269"/>
      <c r="W102" s="273"/>
      <c r="X102" s="267"/>
      <c r="Y102" s="267"/>
      <c r="Z102" s="267"/>
      <c r="AA102" s="267"/>
      <c r="AB102" s="267"/>
    </row>
    <row r="103" spans="2:28" x14ac:dyDescent="0.3"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</row>
    <row r="104" spans="2:28" x14ac:dyDescent="0.3"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</row>
    <row r="105" spans="2:28" x14ac:dyDescent="0.3">
      <c r="B105" s="264"/>
      <c r="L105" s="265"/>
    </row>
    <row r="106" spans="2:28" x14ac:dyDescent="0.3">
      <c r="B106" s="264"/>
      <c r="L106" s="265"/>
    </row>
    <row r="107" spans="2:28" x14ac:dyDescent="0.3">
      <c r="B107" s="264"/>
      <c r="L107" s="265"/>
    </row>
    <row r="108" spans="2:28" x14ac:dyDescent="0.3">
      <c r="B108" s="264"/>
    </row>
    <row r="109" spans="2:28" x14ac:dyDescent="0.3">
      <c r="B109" s="264"/>
    </row>
    <row r="110" spans="2:28" x14ac:dyDescent="0.3">
      <c r="B110" s="264"/>
      <c r="L110" s="265"/>
    </row>
    <row r="111" spans="2:28" x14ac:dyDescent="0.3">
      <c r="B111" s="264"/>
      <c r="L111" s="265"/>
    </row>
    <row r="112" spans="2:28" x14ac:dyDescent="0.3">
      <c r="B112" s="264"/>
      <c r="L112" s="265"/>
    </row>
    <row r="113" spans="2:12" x14ac:dyDescent="0.3">
      <c r="B113" s="264"/>
      <c r="L113" s="265"/>
    </row>
    <row r="114" spans="2:12" x14ac:dyDescent="0.3">
      <c r="B114" s="264"/>
      <c r="L114" s="265"/>
    </row>
    <row r="115" spans="2:12" x14ac:dyDescent="0.3">
      <c r="B115" s="264"/>
      <c r="L115" s="265"/>
    </row>
    <row r="116" spans="2:12" x14ac:dyDescent="0.3">
      <c r="B116" s="264"/>
      <c r="L116" s="265"/>
    </row>
  </sheetData>
  <sheetProtection algorithmName="SHA-512" hashValue="kDmMIOQ0G2OTyy6NohGmZRCgbL1Z3HZJepnqZDzVe+WeULlrJFPPApANViUnqVEdZStXVAkyMlEoj5nVRanhgg==" saltValue="2JuFyVgcnsEBzlFgOjJNDg==" spinCount="100000" sheet="1" objects="1" scenarios="1"/>
  <mergeCells count="34">
    <mergeCell ref="AC63:AC68"/>
    <mergeCell ref="AC69:AC72"/>
    <mergeCell ref="C52:D52"/>
    <mergeCell ref="F52:G52"/>
    <mergeCell ref="U59:V59"/>
    <mergeCell ref="W59:X59"/>
    <mergeCell ref="C59:G60"/>
    <mergeCell ref="U64:X64"/>
    <mergeCell ref="AF3:AI3"/>
    <mergeCell ref="AF9:AI9"/>
    <mergeCell ref="I11:I12"/>
    <mergeCell ref="J11:J12"/>
    <mergeCell ref="U7:W7"/>
    <mergeCell ref="B11:B12"/>
    <mergeCell ref="C11:C12"/>
    <mergeCell ref="D11:D12"/>
    <mergeCell ref="E11:E12"/>
    <mergeCell ref="F11:H11"/>
    <mergeCell ref="B13:B14"/>
    <mergeCell ref="C13:C14"/>
    <mergeCell ref="J13:J14"/>
    <mergeCell ref="B15:B16"/>
    <mergeCell ref="C15:C16"/>
    <mergeCell ref="J15:J16"/>
    <mergeCell ref="T15:X15"/>
    <mergeCell ref="S17:S22"/>
    <mergeCell ref="S23:S50"/>
    <mergeCell ref="C41:C42"/>
    <mergeCell ref="C48:C50"/>
    <mergeCell ref="AH48:AJ48"/>
    <mergeCell ref="AA60:AB60"/>
    <mergeCell ref="B24:B25"/>
    <mergeCell ref="C24:C25"/>
    <mergeCell ref="I46:J46"/>
  </mergeCells>
  <pageMargins left="0.7" right="0.7" top="0.78740157499999996" bottom="0.78740157499999996" header="0.3" footer="0.3"/>
  <pageSetup paperSize="9" scale="53" orientation="landscape" horizontalDpi="4294967293" r:id="rId1"/>
  <rowBreaks count="1" manualBreakCount="1">
    <brk id="61" max="16383" man="1"/>
  </rowBreaks>
  <colBreaks count="2" manualBreakCount="2">
    <brk id="11" max="1048575" man="1"/>
    <brk id="2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Eingabe-Maske</vt:lpstr>
      <vt:lpstr>Overview</vt:lpstr>
      <vt:lpstr>ACAT-16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</dc:creator>
  <cp:lastModifiedBy>Arbeit</cp:lastModifiedBy>
  <cp:lastPrinted>2017-06-20T11:24:26Z</cp:lastPrinted>
  <dcterms:created xsi:type="dcterms:W3CDTF">2016-10-06T19:26:42Z</dcterms:created>
  <dcterms:modified xsi:type="dcterms:W3CDTF">2017-06-20T11:45:43Z</dcterms:modified>
</cp:coreProperties>
</file>